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345" yWindow="15" windowWidth="10500" windowHeight="12765" tabRatio="655" activeTab="9"/>
  </bookViews>
  <sheets>
    <sheet name="Хабаровск-1" sheetId="45" r:id="rId1"/>
    <sheet name="Хабаровск-2" sheetId="35" r:id="rId2"/>
    <sheet name="Комсомольск" sheetId="33" r:id="rId3"/>
    <sheet name="Амурск" sheetId="3" r:id="rId4"/>
    <sheet name="Аян" sheetId="4" r:id="rId5"/>
    <sheet name="Ванино" sheetId="21" r:id="rId6"/>
    <sheet name="ЛАЗО" sheetId="34" r:id="rId7"/>
    <sheet name="Нанайский" sheetId="12" r:id="rId8"/>
    <sheet name="Николаевск" sheetId="22" r:id="rId9"/>
    <sheet name="Солнечный" sheetId="17" r:id="rId10"/>
  </sheets>
  <externalReferences>
    <externalReference r:id="rId11"/>
    <externalReference r:id="rId12"/>
  </externalReferences>
  <definedNames>
    <definedName name="_xlnm._FilterDatabase" localSheetId="3" hidden="1">Амурск!$A$7:$FM$88</definedName>
    <definedName name="_xlnm._FilterDatabase" localSheetId="5" hidden="1">Ванино!$A$7:$FB$173</definedName>
    <definedName name="_xlnm._FilterDatabase" localSheetId="2" hidden="1">Комсомольск!$A$7:$BT$641</definedName>
    <definedName name="_xlnm._FilterDatabase" localSheetId="0" hidden="1">'Хабаровск-1'!$B$8:$N$568</definedName>
    <definedName name="_xlnm._FilterDatabase" localSheetId="1" hidden="1">'Хабаровск-2'!$A$7:$H$1199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Амурск!$4:$7</definedName>
    <definedName name="_xlnm.Print_Titles" localSheetId="4">Аян!$4:$7</definedName>
    <definedName name="_xlnm.Print_Titles" localSheetId="5">Ванино!$4:$7</definedName>
    <definedName name="_xlnm.Print_Titles" localSheetId="2">Комсомольск!$4:$7</definedName>
    <definedName name="_xlnm.Print_Titles" localSheetId="6">ЛАЗО!$4:$6</definedName>
    <definedName name="_xlnm.Print_Titles" localSheetId="7">Нанайский!$3:$7</definedName>
    <definedName name="_xlnm.Print_Titles" localSheetId="8">Николаевск!$4:$7</definedName>
    <definedName name="_xlnm.Print_Titles" localSheetId="9">Солнечный!$4:$7</definedName>
    <definedName name="_xlnm.Print_Titles" localSheetId="0">'Хабаровск-1'!$5:$8</definedName>
    <definedName name="_xlnm.Print_Titles" localSheetId="1">'Хабаровск-2'!$2:$7</definedName>
    <definedName name="_xlnm.Print_Area" localSheetId="3">Амурск!$A$1:$F$98</definedName>
    <definedName name="_xlnm.Print_Area" localSheetId="5">Ванино!$A$1:$F$148</definedName>
    <definedName name="_xlnm.Print_Area" localSheetId="2">Комсомольск!$B$1:$G$641</definedName>
    <definedName name="_xlnm.Print_Area" localSheetId="6">ЛАЗО!$A$1:$F$88</definedName>
    <definedName name="_xlnm.Print_Area" localSheetId="8">Николаевск!$A$1:$F$79</definedName>
    <definedName name="_xlnm.Print_Area" localSheetId="9">Солнечный!$A$1:$F$76</definedName>
    <definedName name="_xlnm.Print_Area" localSheetId="0">'Хабаровск-1'!$B$1:$G$568</definedName>
    <definedName name="_xlnm.Print_Area" localSheetId="1">'Хабаровск-2'!$B$1:$G$1198</definedName>
  </definedNames>
  <calcPr calcId="145621"/>
</workbook>
</file>

<file path=xl/calcChain.xml><?xml version="1.0" encoding="utf-8"?>
<calcChain xmlns="http://schemas.openxmlformats.org/spreadsheetml/2006/main">
  <c r="G574" i="35" l="1"/>
  <c r="F574" i="35"/>
  <c r="D574" i="35" l="1"/>
  <c r="G573" i="35" l="1"/>
  <c r="F573" i="35" s="1"/>
  <c r="D290" i="45" l="1"/>
  <c r="G477" i="35" l="1"/>
  <c r="F477" i="35" s="1"/>
  <c r="C32" i="21" l="1"/>
  <c r="C31" i="3"/>
  <c r="C32" i="34"/>
  <c r="C31" i="17"/>
  <c r="C28" i="12"/>
  <c r="C32" i="22"/>
  <c r="D334" i="33" l="1"/>
  <c r="D331" i="33"/>
  <c r="D295" i="45"/>
  <c r="D294" i="45"/>
  <c r="D291" i="45"/>
  <c r="D32" i="35" l="1"/>
  <c r="D34" i="35"/>
  <c r="D33" i="35"/>
  <c r="D30" i="35"/>
  <c r="D548" i="35" l="1"/>
  <c r="D21" i="33" l="1"/>
  <c r="D10" i="33"/>
  <c r="D524" i="45" l="1"/>
  <c r="D408" i="45"/>
  <c r="D392" i="45"/>
  <c r="D448" i="35" l="1"/>
  <c r="D727" i="35"/>
  <c r="D896" i="35"/>
  <c r="D894" i="35"/>
  <c r="D318" i="45" l="1"/>
  <c r="D313" i="45"/>
  <c r="D307" i="45"/>
  <c r="C18" i="3" l="1"/>
  <c r="D1122" i="35" l="1"/>
  <c r="C86" i="3" l="1"/>
  <c r="D640" i="33"/>
  <c r="C68" i="12"/>
  <c r="D1138" i="35"/>
  <c r="D1026" i="35"/>
  <c r="D537" i="35" l="1"/>
  <c r="D540" i="35"/>
  <c r="D419" i="35" l="1"/>
  <c r="D414" i="35"/>
  <c r="C41" i="34" l="1"/>
  <c r="D247" i="35" l="1"/>
  <c r="C35" i="4"/>
  <c r="C42" i="4"/>
  <c r="C39" i="17" l="1"/>
  <c r="C40" i="22"/>
  <c r="C113" i="21"/>
  <c r="C120" i="21"/>
  <c r="C40" i="21"/>
  <c r="C47" i="21"/>
  <c r="C39" i="3"/>
  <c r="D603" i="33"/>
  <c r="D610" i="33"/>
  <c r="D547" i="33"/>
  <c r="D463" i="33"/>
  <c r="D470" i="33"/>
  <c r="D240" i="33"/>
  <c r="D247" i="33"/>
  <c r="D168" i="33"/>
  <c r="D105" i="33"/>
  <c r="D112" i="33"/>
  <c r="D49" i="33"/>
  <c r="C36" i="12"/>
  <c r="C40" i="34"/>
  <c r="D979" i="35"/>
  <c r="D986" i="35"/>
  <c r="D1156" i="35"/>
  <c r="D1163" i="35"/>
  <c r="D1052" i="35"/>
  <c r="D1105" i="35"/>
  <c r="D443" i="45"/>
  <c r="D654" i="35"/>
  <c r="D647" i="35"/>
  <c r="D603" i="35"/>
  <c r="D555" i="35"/>
  <c r="D501" i="35"/>
  <c r="D508" i="35"/>
  <c r="D426" i="35"/>
  <c r="D383" i="35"/>
  <c r="D376" i="35"/>
  <c r="D328" i="35"/>
  <c r="D290" i="33" l="1"/>
  <c r="D289" i="33"/>
  <c r="D295" i="33" l="1"/>
  <c r="D528" i="33" l="1"/>
  <c r="D305" i="45" l="1"/>
  <c r="C78" i="3"/>
  <c r="D185" i="33"/>
  <c r="C71" i="22"/>
  <c r="C68" i="22"/>
  <c r="C67" i="22"/>
  <c r="D264" i="35"/>
  <c r="D564" i="33"/>
  <c r="D22" i="35" l="1"/>
  <c r="D21" i="35"/>
  <c r="D953" i="35"/>
  <c r="D1023" i="35"/>
  <c r="D534" i="45" l="1"/>
  <c r="C62" i="21" l="1"/>
  <c r="D488" i="45" l="1"/>
  <c r="H15" i="22" l="1"/>
  <c r="D149" i="33" l="1"/>
  <c r="D151" i="33"/>
  <c r="G238" i="35" l="1"/>
  <c r="F238" i="35" s="1"/>
  <c r="D117" i="45" l="1"/>
  <c r="D137" i="45" l="1"/>
  <c r="D377" i="33" l="1"/>
  <c r="D500" i="35" l="1"/>
  <c r="D274" i="45" l="1"/>
  <c r="D168" i="35" l="1"/>
  <c r="D493" i="35" l="1"/>
  <c r="D236" i="35" l="1"/>
  <c r="D239" i="35" s="1"/>
  <c r="D312" i="45" l="1"/>
  <c r="G35" i="45" l="1"/>
  <c r="F35" i="45" s="1"/>
  <c r="G34" i="45"/>
  <c r="F34" i="45" s="1"/>
  <c r="G33" i="45"/>
  <c r="F33" i="45" s="1"/>
  <c r="G32" i="45"/>
  <c r="F32" i="45" s="1"/>
  <c r="G31" i="45"/>
  <c r="F31" i="45" s="1"/>
  <c r="G30" i="45"/>
  <c r="F30" i="45" s="1"/>
  <c r="D29" i="45"/>
  <c r="G29" i="45" s="1"/>
  <c r="F29" i="45" s="1"/>
  <c r="G28" i="45"/>
  <c r="F28" i="45" s="1"/>
  <c r="G27" i="45"/>
  <c r="F27" i="45" s="1"/>
  <c r="G26" i="45"/>
  <c r="F26" i="45" s="1"/>
  <c r="G25" i="45"/>
  <c r="F25" i="45" s="1"/>
  <c r="D24" i="45"/>
  <c r="G24" i="45" s="1"/>
  <c r="F24" i="45" s="1"/>
  <c r="D23" i="45"/>
  <c r="G23" i="45" s="1"/>
  <c r="F23" i="45" s="1"/>
  <c r="G22" i="45"/>
  <c r="F22" i="45" s="1"/>
  <c r="D21" i="45"/>
  <c r="G21" i="45" s="1"/>
  <c r="F21" i="45" s="1"/>
  <c r="D20" i="45"/>
  <c r="G20" i="45" s="1"/>
  <c r="F20" i="45" s="1"/>
  <c r="G19" i="45"/>
  <c r="F19" i="45" s="1"/>
  <c r="G18" i="45"/>
  <c r="F18" i="45" s="1"/>
  <c r="D17" i="45"/>
  <c r="G17" i="45" s="1"/>
  <c r="F17" i="45" s="1"/>
  <c r="G16" i="45"/>
  <c r="F16" i="45" s="1"/>
  <c r="G15" i="45"/>
  <c r="F15" i="45" s="1"/>
  <c r="G14" i="45"/>
  <c r="F14" i="45" s="1"/>
  <c r="G13" i="45"/>
  <c r="F13" i="45" s="1"/>
  <c r="D12" i="45"/>
  <c r="G12" i="45" s="1"/>
  <c r="F12" i="45" s="1"/>
  <c r="G11" i="45"/>
  <c r="F11" i="45" s="1"/>
  <c r="C48" i="34" l="1"/>
  <c r="D713" i="35" l="1"/>
  <c r="D639" i="33"/>
  <c r="D1137" i="35"/>
  <c r="D777" i="35"/>
  <c r="C37" i="34"/>
  <c r="C39" i="34"/>
  <c r="D398" i="35" l="1"/>
  <c r="C65" i="12" l="1"/>
  <c r="E95" i="35" l="1"/>
  <c r="D95" i="35"/>
  <c r="D566" i="45" l="1"/>
  <c r="G565" i="45"/>
  <c r="F565" i="45" s="1"/>
  <c r="F566" i="45" s="1"/>
  <c r="G566" i="45" l="1"/>
  <c r="E566" i="45" s="1"/>
  <c r="F18" i="17" l="1"/>
  <c r="E18" i="17" s="1"/>
  <c r="F17" i="17"/>
  <c r="E17" i="17" s="1"/>
  <c r="F16" i="17"/>
  <c r="E16" i="17" s="1"/>
  <c r="F15" i="17"/>
  <c r="E15" i="17" s="1"/>
  <c r="F14" i="17"/>
  <c r="E14" i="17" s="1"/>
  <c r="F13" i="17"/>
  <c r="E13" i="17" s="1"/>
  <c r="F12" i="17"/>
  <c r="E12" i="17" s="1"/>
  <c r="F11" i="17"/>
  <c r="E11" i="17" s="1"/>
  <c r="C72" i="22"/>
  <c r="C69" i="22"/>
  <c r="F19" i="22"/>
  <c r="E19" i="22" s="1"/>
  <c r="F18" i="22"/>
  <c r="E18" i="22" s="1"/>
  <c r="F17" i="22"/>
  <c r="E17" i="22" s="1"/>
  <c r="F16" i="22"/>
  <c r="E16" i="22" s="1"/>
  <c r="F15" i="22"/>
  <c r="E15" i="22" s="1"/>
  <c r="F14" i="22"/>
  <c r="E14" i="22" s="1"/>
  <c r="F13" i="22"/>
  <c r="E13" i="22" s="1"/>
  <c r="F12" i="22"/>
  <c r="E12" i="22" s="1"/>
  <c r="F11" i="22"/>
  <c r="E11" i="22" s="1"/>
  <c r="F74" i="34"/>
  <c r="E74" i="34" s="1"/>
  <c r="F73" i="34"/>
  <c r="E73" i="34" s="1"/>
  <c r="F72" i="34"/>
  <c r="E72" i="34" s="1"/>
  <c r="F71" i="34"/>
  <c r="E71" i="34" s="1"/>
  <c r="F70" i="34"/>
  <c r="E70" i="34" s="1"/>
  <c r="F94" i="21" l="1"/>
  <c r="E94" i="21" s="1"/>
  <c r="F93" i="21"/>
  <c r="E93" i="21" s="1"/>
  <c r="F11" i="21"/>
  <c r="E11" i="21" s="1"/>
  <c r="C80" i="3"/>
  <c r="F78" i="3"/>
  <c r="E78" i="3" s="1"/>
  <c r="C75" i="3"/>
  <c r="F74" i="3"/>
  <c r="E74" i="3" s="1"/>
  <c r="G576" i="33"/>
  <c r="F576" i="33" s="1"/>
  <c r="D578" i="33"/>
  <c r="G281" i="33" l="1"/>
  <c r="F281" i="33" s="1"/>
  <c r="G280" i="33"/>
  <c r="F280" i="33" s="1"/>
  <c r="G279" i="33"/>
  <c r="F279" i="33" s="1"/>
  <c r="G278" i="33"/>
  <c r="F278" i="33" s="1"/>
  <c r="G277" i="33"/>
  <c r="F277" i="33" s="1"/>
  <c r="G276" i="33"/>
  <c r="F276" i="33" s="1"/>
  <c r="G275" i="33"/>
  <c r="F275" i="33" s="1"/>
  <c r="D224" i="33"/>
  <c r="D132" i="33"/>
  <c r="G130" i="33"/>
  <c r="F130" i="33" s="1"/>
  <c r="G129" i="33"/>
  <c r="F129" i="33" s="1"/>
  <c r="D78" i="33"/>
  <c r="G77" i="33"/>
  <c r="F77" i="33" s="1"/>
  <c r="G76" i="33"/>
  <c r="F76" i="33" s="1"/>
  <c r="G75" i="33"/>
  <c r="F75" i="33" s="1"/>
  <c r="D887" i="35"/>
  <c r="G885" i="35"/>
  <c r="F885" i="35" s="1"/>
  <c r="G356" i="35"/>
  <c r="F356" i="35" s="1"/>
  <c r="D357" i="35"/>
  <c r="G230" i="35"/>
  <c r="F230" i="35" s="1"/>
  <c r="D231" i="35"/>
  <c r="D13" i="35" l="1"/>
  <c r="D18" i="35"/>
  <c r="D23" i="35"/>
  <c r="D24" i="35" s="1"/>
  <c r="D38" i="35"/>
  <c r="D40" i="35"/>
  <c r="D48" i="35" s="1"/>
  <c r="D52" i="35"/>
  <c r="D59" i="35"/>
  <c r="D75" i="35"/>
  <c r="D92" i="35"/>
  <c r="D96" i="35" s="1"/>
  <c r="D107" i="35"/>
  <c r="D114" i="35"/>
  <c r="D115" i="35"/>
  <c r="D122" i="35"/>
  <c r="D123" i="35" s="1"/>
  <c r="D130" i="35"/>
  <c r="D132" i="35"/>
  <c r="D139" i="35" s="1"/>
  <c r="D143" i="35"/>
  <c r="D141" i="35" s="1"/>
  <c r="D166" i="35" s="1"/>
  <c r="D150" i="35"/>
  <c r="D178" i="35"/>
  <c r="D181" i="35"/>
  <c r="D187" i="35"/>
  <c r="D189" i="35"/>
  <c r="D197" i="35" s="1"/>
  <c r="D201" i="35"/>
  <c r="D208" i="35"/>
  <c r="D219" i="35"/>
  <c r="D227" i="35"/>
  <c r="D241" i="35"/>
  <c r="D250" i="35" s="1"/>
  <c r="D246" i="35"/>
  <c r="D244" i="35" s="1"/>
  <c r="D254" i="35"/>
  <c r="D258" i="35"/>
  <c r="D266" i="35"/>
  <c r="D268" i="35"/>
  <c r="D276" i="35" s="1"/>
  <c r="D273" i="35"/>
  <c r="D271" i="35" s="1"/>
  <c r="D281" i="35"/>
  <c r="D282" i="35" s="1"/>
  <c r="D289" i="35"/>
  <c r="D291" i="35"/>
  <c r="D299" i="35" s="1"/>
  <c r="D296" i="35"/>
  <c r="D294" i="35" s="1"/>
  <c r="D300" i="35"/>
  <c r="D306" i="35"/>
  <c r="D307" i="35" s="1"/>
  <c r="D312" i="35"/>
  <c r="D323" i="35" s="1"/>
  <c r="D321" i="35"/>
  <c r="D319" i="35" s="1"/>
  <c r="D327" i="35"/>
  <c r="D334" i="35"/>
  <c r="D350" i="35"/>
  <c r="D358" i="35"/>
  <c r="D363" i="35"/>
  <c r="D371" i="35" s="1"/>
  <c r="D375" i="35"/>
  <c r="D382" i="35"/>
  <c r="D403" i="35"/>
  <c r="D404" i="35" s="1"/>
  <c r="D411" i="35"/>
  <c r="D413" i="35"/>
  <c r="D421" i="35" s="1"/>
  <c r="D425" i="35"/>
  <c r="D432" i="35"/>
  <c r="D480" i="35"/>
  <c r="D481" i="35" s="1"/>
  <c r="D486" i="35"/>
  <c r="D496" i="35" s="1"/>
  <c r="D492" i="35"/>
  <c r="D507" i="35"/>
  <c r="D498" i="35" s="1"/>
  <c r="D527" i="35"/>
  <c r="D528" i="35" s="1"/>
  <c r="D533" i="35"/>
  <c r="D532" i="35" s="1"/>
  <c r="D542" i="35"/>
  <c r="D541" i="35" s="1"/>
  <c r="D539" i="35" s="1"/>
  <c r="D547" i="35"/>
  <c r="D554" i="35"/>
  <c r="D575" i="35"/>
  <c r="D580" i="35"/>
  <c r="D591" i="35" s="1"/>
  <c r="D589" i="35"/>
  <c r="D587" i="35" s="1"/>
  <c r="D595" i="35"/>
  <c r="D602" i="35"/>
  <c r="D618" i="35"/>
  <c r="D626" i="35"/>
  <c r="D627" i="35" s="1"/>
  <c r="D631" i="35"/>
  <c r="D642" i="35" s="1"/>
  <c r="D640" i="35"/>
  <c r="D638" i="35" s="1"/>
  <c r="D646" i="35"/>
  <c r="D653" i="35"/>
  <c r="D672" i="35"/>
  <c r="D673" i="35" s="1"/>
  <c r="D678" i="35"/>
  <c r="D686" i="35" s="1"/>
  <c r="D690" i="35"/>
  <c r="D697" i="35"/>
  <c r="D720" i="35"/>
  <c r="D721" i="35" s="1"/>
  <c r="D726" i="35"/>
  <c r="D732" i="35" s="1"/>
  <c r="D728" i="35"/>
  <c r="D737" i="35"/>
  <c r="D739" i="35"/>
  <c r="D749" i="35"/>
  <c r="D755" i="35" s="1"/>
  <c r="D751" i="35"/>
  <c r="D759" i="35"/>
  <c r="D766" i="35" s="1"/>
  <c r="D770" i="35"/>
  <c r="D768" i="35" s="1"/>
  <c r="D793" i="35"/>
  <c r="D800" i="35"/>
  <c r="D801" i="35" s="1"/>
  <c r="D806" i="35"/>
  <c r="D813" i="35" s="1"/>
  <c r="D817" i="35"/>
  <c r="D824" i="35"/>
  <c r="D843" i="35"/>
  <c r="D844" i="35" s="1"/>
  <c r="D849" i="35"/>
  <c r="D856" i="35" s="1"/>
  <c r="D860" i="35"/>
  <c r="D867" i="35"/>
  <c r="D888" i="35"/>
  <c r="D893" i="35"/>
  <c r="D899" i="35" s="1"/>
  <c r="D895" i="35"/>
  <c r="D904" i="35"/>
  <c r="D911" i="35" s="1"/>
  <c r="D915" i="35"/>
  <c r="D922" i="35"/>
  <c r="D944" i="35"/>
  <c r="D945" i="35" s="1"/>
  <c r="D961" i="35"/>
  <c r="D964" i="35"/>
  <c r="D963" i="35" s="1"/>
  <c r="D974" i="35" s="1"/>
  <c r="D972" i="35"/>
  <c r="D970" i="35" s="1"/>
  <c r="D978" i="35"/>
  <c r="D985" i="35"/>
  <c r="D1001" i="35"/>
  <c r="D1021" i="35"/>
  <c r="D1027" i="35"/>
  <c r="D1037" i="35"/>
  <c r="D1036" i="35" s="1"/>
  <c r="D1047" i="35" s="1"/>
  <c r="D1045" i="35"/>
  <c r="D1043" i="35" s="1"/>
  <c r="D1051" i="35"/>
  <c r="D1058" i="35"/>
  <c r="D1078" i="35"/>
  <c r="D1079" i="35" s="1"/>
  <c r="D1087" i="35"/>
  <c r="D1090" i="35"/>
  <c r="D1089" i="35" s="1"/>
  <c r="D1100" i="35" s="1"/>
  <c r="D1098" i="35"/>
  <c r="D1096" i="35" s="1"/>
  <c r="D1104" i="35"/>
  <c r="D1111" i="35"/>
  <c r="D1131" i="35"/>
  <c r="D1132" i="35" s="1"/>
  <c r="D1135" i="35"/>
  <c r="D1142" i="35"/>
  <c r="D1150" i="35" s="1"/>
  <c r="D1155" i="35"/>
  <c r="D1162" i="35"/>
  <c r="D1171" i="35"/>
  <c r="D1181" i="35"/>
  <c r="D1187" i="35"/>
  <c r="D1191" i="35"/>
  <c r="D976" i="35" l="1"/>
  <c r="D999" i="35" s="1"/>
  <c r="D858" i="35"/>
  <c r="D881" i="35" s="1"/>
  <c r="D882" i="35" s="1"/>
  <c r="D815" i="35"/>
  <c r="D838" i="35" s="1"/>
  <c r="D839" i="35" s="1"/>
  <c r="D593" i="35"/>
  <c r="D616" i="35" s="1"/>
  <c r="D617" i="35" s="1"/>
  <c r="D423" i="35"/>
  <c r="D446" i="35" s="1"/>
  <c r="D447" i="35" s="1"/>
  <c r="D688" i="35"/>
  <c r="D711" i="35" s="1"/>
  <c r="D712" i="35" s="1"/>
  <c r="D644" i="35"/>
  <c r="D667" i="35" s="1"/>
  <c r="D668" i="35" s="1"/>
  <c r="D199" i="35"/>
  <c r="D521" i="35"/>
  <c r="D522" i="35" s="1"/>
  <c r="D1102" i="35"/>
  <c r="D1125" i="35" s="1"/>
  <c r="D1126" i="35" s="1"/>
  <c r="D1152" i="35"/>
  <c r="D545" i="35"/>
  <c r="D568" i="35" s="1"/>
  <c r="D373" i="35"/>
  <c r="D396" i="35" s="1"/>
  <c r="D397" i="35" s="1"/>
  <c r="D167" i="35"/>
  <c r="D325" i="35"/>
  <c r="D348" i="35" s="1"/>
  <c r="D349" i="35" s="1"/>
  <c r="D1049" i="35"/>
  <c r="D1072" i="35" s="1"/>
  <c r="D1073" i="35" s="1"/>
  <c r="D50" i="35"/>
  <c r="D73" i="35" s="1"/>
  <c r="D74" i="35" s="1"/>
  <c r="D913" i="35"/>
  <c r="D936" i="35" s="1"/>
  <c r="D937" i="35" s="1"/>
  <c r="D1192" i="35"/>
  <c r="D1182" i="35"/>
  <c r="D222" i="35"/>
  <c r="D223" i="35" s="1"/>
  <c r="D259" i="35"/>
  <c r="D182" i="35"/>
  <c r="D543" i="35"/>
  <c r="D1134" i="35"/>
  <c r="D791" i="35"/>
  <c r="D792" i="35" s="1"/>
  <c r="D232" i="35"/>
  <c r="D1028" i="35"/>
  <c r="D743" i="35"/>
  <c r="D1000" i="35" l="1"/>
  <c r="D1176" i="35"/>
  <c r="D569" i="35"/>
  <c r="C56" i="17"/>
  <c r="C62" i="22"/>
  <c r="C59" i="34"/>
  <c r="C64" i="34"/>
  <c r="D59" i="33"/>
  <c r="C130" i="21"/>
  <c r="C135" i="21"/>
  <c r="C57" i="21"/>
  <c r="C61" i="3"/>
  <c r="C56" i="3"/>
  <c r="D410" i="33"/>
  <c r="D382" i="33"/>
  <c r="D322" i="33"/>
  <c r="D317" i="33"/>
  <c r="D298" i="33"/>
  <c r="D262" i="33"/>
  <c r="D190" i="33"/>
  <c r="D64" i="33"/>
  <c r="D1177" i="35" l="1"/>
  <c r="D36" i="45"/>
  <c r="D38" i="45"/>
  <c r="D44" i="45" s="1"/>
  <c r="D45" i="45"/>
  <c r="D85" i="45"/>
  <c r="D90" i="45"/>
  <c r="D111" i="45"/>
  <c r="D113" i="45"/>
  <c r="D120" i="45" s="1"/>
  <c r="D121" i="45"/>
  <c r="D131" i="45"/>
  <c r="D132" i="45" s="1"/>
  <c r="D144" i="45"/>
  <c r="D146" i="45"/>
  <c r="D154" i="45" s="1"/>
  <c r="D150" i="45"/>
  <c r="D155" i="45"/>
  <c r="D185" i="45"/>
  <c r="D189" i="45"/>
  <c r="D216" i="45"/>
  <c r="D218" i="45"/>
  <c r="D223" i="45"/>
  <c r="D227" i="45"/>
  <c r="D249" i="45"/>
  <c r="D253" i="45"/>
  <c r="D255" i="45"/>
  <c r="D267" i="45"/>
  <c r="D269" i="45"/>
  <c r="D273" i="45" s="1"/>
  <c r="D292" i="45"/>
  <c r="D296" i="45"/>
  <c r="D301" i="45"/>
  <c r="D311" i="45" s="1"/>
  <c r="D308" i="45"/>
  <c r="D306" i="45" s="1"/>
  <c r="D347" i="45"/>
  <c r="D348" i="45" s="1"/>
  <c r="D352" i="45"/>
  <c r="D361" i="45" s="1"/>
  <c r="D358" i="45"/>
  <c r="D356" i="45" s="1"/>
  <c r="D366" i="45"/>
  <c r="D367" i="45" s="1"/>
  <c r="D372" i="45"/>
  <c r="D375" i="45"/>
  <c r="D383" i="45"/>
  <c r="D382" i="45" s="1"/>
  <c r="D385" i="45"/>
  <c r="D384" i="45" s="1"/>
  <c r="D393" i="45"/>
  <c r="D395" i="45"/>
  <c r="D399" i="45" s="1"/>
  <c r="D400" i="45"/>
  <c r="D406" i="45"/>
  <c r="D409" i="45"/>
  <c r="D425" i="45"/>
  <c r="D427" i="45"/>
  <c r="D438" i="45" s="1"/>
  <c r="D436" i="45"/>
  <c r="D442" i="45"/>
  <c r="D449" i="45"/>
  <c r="D469" i="45"/>
  <c r="D470" i="45" s="1"/>
  <c r="D476" i="45"/>
  <c r="D478" i="45"/>
  <c r="D483" i="45" s="1"/>
  <c r="D484" i="45"/>
  <c r="D509" i="45"/>
  <c r="D511" i="45"/>
  <c r="D515" i="45" s="1"/>
  <c r="D519" i="45"/>
  <c r="D520" i="45" s="1"/>
  <c r="D525" i="45"/>
  <c r="D536" i="45"/>
  <c r="D538" i="45"/>
  <c r="D542" i="45" s="1"/>
  <c r="D546" i="45"/>
  <c r="D550" i="45"/>
  <c r="D559" i="45"/>
  <c r="D434" i="45" l="1"/>
  <c r="D226" i="45"/>
  <c r="D387" i="45"/>
  <c r="D91" i="45"/>
  <c r="D254" i="45"/>
  <c r="D410" i="45"/>
  <c r="D378" i="45"/>
  <c r="D297" i="45"/>
  <c r="D551" i="45"/>
  <c r="D190" i="45"/>
  <c r="D440" i="45"/>
  <c r="D463" i="45" s="1"/>
  <c r="D464" i="45" s="1"/>
  <c r="D374" i="45"/>
  <c r="G415" i="45" l="1"/>
  <c r="F415" i="45" s="1"/>
  <c r="G295" i="45"/>
  <c r="F295" i="45" s="1"/>
  <c r="G130" i="45"/>
  <c r="F130" i="45" s="1"/>
  <c r="G129" i="45"/>
  <c r="F129" i="45" s="1"/>
  <c r="C25" i="22" l="1"/>
  <c r="C25" i="34"/>
  <c r="C33" i="22" l="1"/>
  <c r="C31" i="22" s="1"/>
  <c r="G89" i="45" l="1"/>
  <c r="F89" i="45" s="1"/>
  <c r="G87" i="45"/>
  <c r="G88" i="45"/>
  <c r="F88" i="45" s="1"/>
  <c r="G84" i="45"/>
  <c r="F84" i="45" s="1"/>
  <c r="G90" i="45" l="1"/>
  <c r="F87" i="45"/>
  <c r="F90" i="45" s="1"/>
  <c r="G331" i="33" l="1"/>
  <c r="G313" i="33"/>
  <c r="G312" i="33"/>
  <c r="G314" i="33" l="1"/>
  <c r="G215" i="45"/>
  <c r="F215" i="45" s="1"/>
  <c r="G214" i="45"/>
  <c r="F214" i="45" s="1"/>
  <c r="G213" i="45"/>
  <c r="F213" i="45" s="1"/>
  <c r="G212" i="45"/>
  <c r="F212" i="45" s="1"/>
  <c r="G211" i="45"/>
  <c r="F211" i="45" s="1"/>
  <c r="G210" i="45"/>
  <c r="F210" i="45" s="1"/>
  <c r="G209" i="45"/>
  <c r="F209" i="45" s="1"/>
  <c r="G208" i="45"/>
  <c r="F208" i="45" s="1"/>
  <c r="G207" i="45"/>
  <c r="F207" i="45" s="1"/>
  <c r="G206" i="45"/>
  <c r="F206" i="45" s="1"/>
  <c r="G205" i="45"/>
  <c r="F205" i="45" s="1"/>
  <c r="G204" i="45"/>
  <c r="F204" i="45" s="1"/>
  <c r="G203" i="45"/>
  <c r="F203" i="45" s="1"/>
  <c r="G202" i="45"/>
  <c r="F202" i="45" s="1"/>
  <c r="G469" i="35" l="1"/>
  <c r="G470" i="35"/>
  <c r="F470" i="35" l="1"/>
  <c r="D517" i="33" l="1"/>
  <c r="D506" i="33"/>
  <c r="D314" i="33" l="1"/>
  <c r="G184" i="45" l="1"/>
  <c r="F184" i="45" l="1"/>
  <c r="G185" i="45"/>
  <c r="E185" i="45" s="1"/>
  <c r="F185" i="45" l="1"/>
  <c r="C23" i="17"/>
  <c r="C24" i="22"/>
  <c r="C20" i="12"/>
  <c r="C24" i="34"/>
  <c r="C97" i="21"/>
  <c r="C24" i="21"/>
  <c r="C19" i="4"/>
  <c r="C92" i="3"/>
  <c r="C23" i="3"/>
  <c r="D587" i="33"/>
  <c r="D531" i="33"/>
  <c r="D515" i="33"/>
  <c r="D504" i="33" l="1"/>
  <c r="D494" i="33"/>
  <c r="D398" i="33"/>
  <c r="D409" i="33" s="1"/>
  <c r="D89" i="33"/>
  <c r="D26" i="33"/>
  <c r="D293" i="33" l="1"/>
  <c r="D297" i="33" s="1"/>
  <c r="C141" i="21" l="1"/>
  <c r="F140" i="21"/>
  <c r="E140" i="21" s="1"/>
  <c r="E366" i="45" l="1"/>
  <c r="C78" i="21" l="1"/>
  <c r="F77" i="21"/>
  <c r="E77" i="21" s="1"/>
  <c r="G1077" i="35"/>
  <c r="F1077" i="35" s="1"/>
  <c r="G1025" i="35"/>
  <c r="F1025" i="35" s="1"/>
  <c r="G1026" i="35"/>
  <c r="F1026" i="35" s="1"/>
  <c r="G625" i="35" l="1"/>
  <c r="F625" i="35" s="1"/>
  <c r="G623" i="35"/>
  <c r="F623" i="35" s="1"/>
  <c r="G940" i="35" l="1"/>
  <c r="G942" i="35"/>
  <c r="F942" i="35" s="1"/>
  <c r="G943" i="35"/>
  <c r="F943" i="35" s="1"/>
  <c r="G526" i="35" l="1"/>
  <c r="F526" i="35" s="1"/>
  <c r="C146" i="21" l="1"/>
  <c r="F144" i="21"/>
  <c r="E144" i="21" s="1"/>
  <c r="F145" i="21"/>
  <c r="E145" i="21" s="1"/>
  <c r="C80" i="34" l="1"/>
  <c r="F78" i="34"/>
  <c r="E78" i="34" s="1"/>
  <c r="G280" i="35"/>
  <c r="F280" i="35" s="1"/>
  <c r="E843" i="35" l="1"/>
  <c r="G257" i="35" l="1"/>
  <c r="F257" i="35" l="1"/>
  <c r="D282" i="33"/>
  <c r="G471" i="35" l="1"/>
  <c r="G472" i="35"/>
  <c r="F472" i="35" s="1"/>
  <c r="G473" i="35"/>
  <c r="F473" i="35" s="1"/>
  <c r="G474" i="35"/>
  <c r="F474" i="35" s="1"/>
  <c r="G475" i="35"/>
  <c r="F475" i="35" s="1"/>
  <c r="G476" i="35"/>
  <c r="F476" i="35" s="1"/>
  <c r="G478" i="35"/>
  <c r="F478" i="35" s="1"/>
  <c r="G479" i="35"/>
  <c r="F479" i="35" s="1"/>
  <c r="G480" i="35" l="1"/>
  <c r="F471" i="35"/>
  <c r="F480" i="35" s="1"/>
  <c r="G719" i="35"/>
  <c r="F719" i="35" s="1"/>
  <c r="G135" i="33"/>
  <c r="F135" i="33" s="1"/>
  <c r="G136" i="33"/>
  <c r="F136" i="33" s="1"/>
  <c r="G137" i="33"/>
  <c r="F137" i="33" s="1"/>
  <c r="G138" i="33"/>
  <c r="F138" i="33" s="1"/>
  <c r="G139" i="33"/>
  <c r="F139" i="33" s="1"/>
  <c r="G140" i="33"/>
  <c r="F140" i="33" s="1"/>
  <c r="D141" i="33"/>
  <c r="G799" i="35" l="1"/>
  <c r="F799" i="35" s="1"/>
  <c r="G305" i="35"/>
  <c r="F305" i="35" s="1"/>
  <c r="D201" i="33"/>
  <c r="G200" i="33"/>
  <c r="F200" i="33" s="1"/>
  <c r="G842" i="35" l="1"/>
  <c r="F842" i="35" l="1"/>
  <c r="F843" i="35" s="1"/>
  <c r="G843" i="35"/>
  <c r="G305" i="33"/>
  <c r="F305" i="33" s="1"/>
  <c r="D306" i="33"/>
  <c r="C74" i="17" l="1"/>
  <c r="C72" i="17"/>
  <c r="C69" i="17"/>
  <c r="C66" i="17"/>
  <c r="C45" i="17"/>
  <c r="C38" i="17"/>
  <c r="C32" i="17"/>
  <c r="C30" i="17" s="1"/>
  <c r="C19" i="17"/>
  <c r="C77" i="22"/>
  <c r="C75" i="22"/>
  <c r="C46" i="22"/>
  <c r="C39" i="22"/>
  <c r="C35" i="22"/>
  <c r="C20" i="22"/>
  <c r="C67" i="12"/>
  <c r="C62" i="12"/>
  <c r="C42" i="12"/>
  <c r="C35" i="12"/>
  <c r="C29" i="12"/>
  <c r="C27" i="12" s="1"/>
  <c r="C31" i="12"/>
  <c r="C16" i="12"/>
  <c r="C85" i="34"/>
  <c r="C83" i="34"/>
  <c r="C75" i="34"/>
  <c r="C33" i="34"/>
  <c r="C31" i="34" s="1"/>
  <c r="C19" i="34"/>
  <c r="C119" i="21"/>
  <c r="C112" i="21"/>
  <c r="C106" i="21"/>
  <c r="C104" i="21" s="1"/>
  <c r="C108" i="21"/>
  <c r="C95" i="21"/>
  <c r="C83" i="21"/>
  <c r="C81" i="21"/>
  <c r="C74" i="21"/>
  <c r="C46" i="21"/>
  <c r="C39" i="21"/>
  <c r="C33" i="21"/>
  <c r="C31" i="21" s="1"/>
  <c r="C35" i="21"/>
  <c r="C20" i="21"/>
  <c r="F10" i="21"/>
  <c r="E10" i="21" s="1"/>
  <c r="C69" i="4"/>
  <c r="C67" i="4"/>
  <c r="C64" i="4"/>
  <c r="C61" i="4"/>
  <c r="C41" i="4"/>
  <c r="C34" i="4"/>
  <c r="C28" i="4"/>
  <c r="C26" i="4" s="1"/>
  <c r="C30" i="4"/>
  <c r="C15" i="4"/>
  <c r="C97" i="3"/>
  <c r="C94" i="3"/>
  <c r="C85" i="3"/>
  <c r="C83" i="3"/>
  <c r="C45" i="3"/>
  <c r="C38" i="3"/>
  <c r="C32" i="3"/>
  <c r="C30" i="3" s="1"/>
  <c r="C34" i="3"/>
  <c r="C21" i="3"/>
  <c r="G10" i="33"/>
  <c r="F10" i="33" s="1"/>
  <c r="D637" i="33"/>
  <c r="D628" i="33"/>
  <c r="D609" i="33"/>
  <c r="D602" i="33"/>
  <c r="D596" i="33"/>
  <c r="D594" i="33" s="1"/>
  <c r="D598" i="33"/>
  <c r="D585" i="33"/>
  <c r="D574" i="33"/>
  <c r="D553" i="33"/>
  <c r="D546" i="33"/>
  <c r="D540" i="33"/>
  <c r="D538" i="33" s="1"/>
  <c r="D542" i="33"/>
  <c r="D529" i="33"/>
  <c r="D521" i="33"/>
  <c r="D510" i="33"/>
  <c r="D499" i="33"/>
  <c r="D496" i="33"/>
  <c r="D488" i="33"/>
  <c r="D469" i="33"/>
  <c r="D462" i="33"/>
  <c r="D450" i="33"/>
  <c r="D406" i="33"/>
  <c r="D404" i="33" s="1"/>
  <c r="D393" i="33"/>
  <c r="D389" i="33"/>
  <c r="D366" i="33"/>
  <c r="D359" i="33"/>
  <c r="D348" i="33"/>
  <c r="D355" i="33" s="1"/>
  <c r="D346" i="33"/>
  <c r="D335" i="33"/>
  <c r="D332" i="33"/>
  <c r="D321" i="33"/>
  <c r="D307" i="33"/>
  <c r="D291" i="33"/>
  <c r="D273" i="33"/>
  <c r="D246" i="33"/>
  <c r="D239" i="33"/>
  <c r="D227" i="33"/>
  <c r="D235" i="33" s="1"/>
  <c r="D197" i="33"/>
  <c r="D174" i="33"/>
  <c r="D167" i="33"/>
  <c r="D155" i="33"/>
  <c r="D163" i="33" s="1"/>
  <c r="D153" i="33"/>
  <c r="D111" i="33"/>
  <c r="D104" i="33"/>
  <c r="D98" i="33"/>
  <c r="D96" i="33" s="1"/>
  <c r="D100" i="33"/>
  <c r="D86" i="33"/>
  <c r="D72" i="33"/>
  <c r="D48" i="33"/>
  <c r="D41" i="33"/>
  <c r="D35" i="33"/>
  <c r="D33" i="33" s="1"/>
  <c r="D37" i="33"/>
  <c r="D23" i="33"/>
  <c r="F940" i="35"/>
  <c r="G11" i="35"/>
  <c r="F11" i="35" s="1"/>
  <c r="C36" i="17" l="1"/>
  <c r="C59" i="17" s="1"/>
  <c r="C37" i="22"/>
  <c r="C33" i="12"/>
  <c r="C110" i="21"/>
  <c r="C32" i="4"/>
  <c r="D544" i="33"/>
  <c r="C36" i="3"/>
  <c r="C59" i="3" s="1"/>
  <c r="D39" i="33"/>
  <c r="D357" i="33"/>
  <c r="D380" i="33" s="1"/>
  <c r="C62" i="34"/>
  <c r="C37" i="21"/>
  <c r="D600" i="33"/>
  <c r="D460" i="33"/>
  <c r="D483" i="33" s="1"/>
  <c r="D165" i="33"/>
  <c r="D237" i="33"/>
  <c r="D102" i="33"/>
  <c r="D489" i="33"/>
  <c r="C70" i="17"/>
  <c r="C73" i="22"/>
  <c r="C64" i="12"/>
  <c r="C66" i="4"/>
  <c r="C17" i="4"/>
  <c r="C65" i="4"/>
  <c r="C82" i="3"/>
  <c r="C18" i="12"/>
  <c r="D458" i="33"/>
  <c r="D629" i="33"/>
  <c r="C71" i="17"/>
  <c r="C21" i="17"/>
  <c r="C34" i="17"/>
  <c r="C74" i="22"/>
  <c r="C22" i="22"/>
  <c r="C63" i="12"/>
  <c r="C21" i="34"/>
  <c r="C35" i="34"/>
  <c r="C81" i="34"/>
  <c r="C82" i="34"/>
  <c r="C79" i="21"/>
  <c r="C60" i="21"/>
  <c r="C80" i="21"/>
  <c r="C147" i="21"/>
  <c r="C81" i="3"/>
  <c r="F10" i="3"/>
  <c r="E10" i="3" s="1"/>
  <c r="D636" i="33"/>
  <c r="D394" i="33"/>
  <c r="D142" i="33"/>
  <c r="D283" i="33"/>
  <c r="D336" i="33"/>
  <c r="D79" i="33"/>
  <c r="D202" i="33"/>
  <c r="D579" i="33"/>
  <c r="C133" i="21" l="1"/>
  <c r="C134" i="21" s="1"/>
  <c r="D260" i="33"/>
  <c r="D261" i="33" s="1"/>
  <c r="D188" i="33"/>
  <c r="D189" i="33" s="1"/>
  <c r="D567" i="33"/>
  <c r="D568" i="33" s="1"/>
  <c r="D125" i="33"/>
  <c r="D126" i="33" s="1"/>
  <c r="D62" i="33"/>
  <c r="D63" i="33" s="1"/>
  <c r="D484" i="33"/>
  <c r="C60" i="22"/>
  <c r="C56" i="12"/>
  <c r="C55" i="4"/>
  <c r="D623" i="33"/>
  <c r="D381" i="33"/>
  <c r="C63" i="34" l="1"/>
  <c r="C60" i="17"/>
  <c r="C61" i="22"/>
  <c r="C57" i="12"/>
  <c r="C61" i="21"/>
  <c r="C56" i="4"/>
  <c r="C60" i="3"/>
  <c r="D624" i="33"/>
  <c r="G365" i="45"/>
  <c r="G366" i="45" s="1"/>
  <c r="F365" i="45" l="1"/>
  <c r="F366" i="45" s="1"/>
  <c r="G367" i="45"/>
  <c r="E367" i="45" s="1"/>
  <c r="F367" i="45" l="1"/>
  <c r="G90" i="35" l="1"/>
  <c r="F90" i="35" s="1"/>
  <c r="G91" i="35" l="1"/>
  <c r="F91" i="35" l="1"/>
  <c r="G290" i="45" l="1"/>
  <c r="F290" i="45" l="1"/>
  <c r="G474" i="45" l="1"/>
  <c r="F474" i="45" s="1"/>
  <c r="G345" i="45" l="1"/>
  <c r="F345" i="45" s="1"/>
  <c r="G346" i="45" l="1"/>
  <c r="F346" i="45" s="1"/>
  <c r="F347" i="45" s="1"/>
  <c r="F348" i="45" s="1"/>
  <c r="G347" i="45" l="1"/>
  <c r="G348" i="45" l="1"/>
  <c r="E348" i="45" s="1"/>
  <c r="E347" i="45"/>
  <c r="G549" i="45" l="1"/>
  <c r="G143" i="45"/>
  <c r="F68" i="17" l="1"/>
  <c r="F71" i="22" l="1"/>
  <c r="F72" i="22" s="1"/>
  <c r="F68" i="22"/>
  <c r="F64" i="17"/>
  <c r="F61" i="12"/>
  <c r="F67" i="22"/>
  <c r="F63" i="17"/>
  <c r="F60" i="12"/>
  <c r="F65" i="17"/>
  <c r="F10" i="17"/>
  <c r="F10" i="22"/>
  <c r="F69" i="22" l="1"/>
  <c r="F13" i="12"/>
  <c r="F14" i="12"/>
  <c r="F10" i="12"/>
  <c r="F15" i="12"/>
  <c r="F11" i="12"/>
  <c r="F12" i="12"/>
  <c r="F18" i="34"/>
  <c r="F17" i="34"/>
  <c r="F16" i="34"/>
  <c r="F14" i="34"/>
  <c r="F13" i="34"/>
  <c r="F12" i="34"/>
  <c r="F10" i="34"/>
  <c r="D21" i="17" l="1"/>
  <c r="D22" i="22"/>
  <c r="F77" i="34"/>
  <c r="F79" i="34"/>
  <c r="F69" i="34"/>
  <c r="F11" i="34"/>
  <c r="F15" i="34"/>
  <c r="F80" i="34" l="1"/>
  <c r="D18" i="12"/>
  <c r="D21" i="34" l="1"/>
  <c r="F19" i="21" l="1"/>
  <c r="F139" i="21"/>
  <c r="F141" i="21" s="1"/>
  <c r="D141" i="21" s="1"/>
  <c r="F143" i="21"/>
  <c r="F146" i="21" s="1"/>
  <c r="F70" i="21"/>
  <c r="F68" i="21"/>
  <c r="F72" i="21"/>
  <c r="F76" i="21"/>
  <c r="F78" i="21" s="1"/>
  <c r="F69" i="21"/>
  <c r="F71" i="21"/>
  <c r="F73" i="21"/>
  <c r="F90" i="21"/>
  <c r="F92" i="21"/>
  <c r="F89" i="21"/>
  <c r="F91" i="21"/>
  <c r="F12" i="21"/>
  <c r="F16" i="21"/>
  <c r="F14" i="21"/>
  <c r="F18" i="21"/>
  <c r="F13" i="21"/>
  <c r="F15" i="21"/>
  <c r="F17" i="21"/>
  <c r="F59" i="4" l="1"/>
  <c r="F63" i="4"/>
  <c r="F60" i="4"/>
  <c r="F11" i="4"/>
  <c r="F13" i="4"/>
  <c r="F14" i="4"/>
  <c r="F79" i="3" l="1"/>
  <c r="F12" i="4"/>
  <c r="F10" i="4"/>
  <c r="E10" i="4" s="1"/>
  <c r="F77" i="3"/>
  <c r="F68" i="3"/>
  <c r="F66" i="3"/>
  <c r="F20" i="3"/>
  <c r="F80" i="3" l="1"/>
  <c r="F73" i="3"/>
  <c r="F67" i="3"/>
  <c r="G627" i="33"/>
  <c r="F69" i="3"/>
  <c r="F71" i="3"/>
  <c r="F70" i="3"/>
  <c r="F72" i="3"/>
  <c r="F12" i="3"/>
  <c r="E12" i="3" s="1"/>
  <c r="F14" i="3"/>
  <c r="F16" i="3"/>
  <c r="F18" i="3"/>
  <c r="F11" i="3"/>
  <c r="F13" i="3"/>
  <c r="F15" i="3"/>
  <c r="F17" i="3"/>
  <c r="F19" i="3"/>
  <c r="G584" i="33"/>
  <c r="G572" i="33"/>
  <c r="G573" i="33"/>
  <c r="G571" i="33"/>
  <c r="G577" i="33"/>
  <c r="G578" i="33" s="1"/>
  <c r="E578" i="33" s="1"/>
  <c r="G345" i="33"/>
  <c r="G344" i="33"/>
  <c r="G343" i="33"/>
  <c r="G342" i="33"/>
  <c r="G341" i="33"/>
  <c r="G340" i="33"/>
  <c r="F75" i="3" l="1"/>
  <c r="D17" i="4"/>
  <c r="G525" i="33"/>
  <c r="G527" i="33"/>
  <c r="G526" i="33"/>
  <c r="G528" i="33"/>
  <c r="G487" i="33"/>
  <c r="G388" i="33"/>
  <c r="G392" i="33"/>
  <c r="G391" i="33"/>
  <c r="G334" i="33"/>
  <c r="G304" i="33" l="1"/>
  <c r="G306" i="33" s="1"/>
  <c r="G209" i="33" l="1"/>
  <c r="G211" i="33"/>
  <c r="G217" i="33"/>
  <c r="G149" i="33"/>
  <c r="G74" i="33"/>
  <c r="G78" i="33" s="1"/>
  <c r="G718" i="35"/>
  <c r="F718" i="35" l="1"/>
  <c r="F720" i="35" s="1"/>
  <c r="G720" i="35"/>
  <c r="G219" i="33"/>
  <c r="G222" i="33"/>
  <c r="G221" i="33"/>
  <c r="G215" i="33"/>
  <c r="G213" i="33"/>
  <c r="G152" i="33"/>
  <c r="G151" i="33"/>
  <c r="G150" i="33"/>
  <c r="G11" i="33"/>
  <c r="G18" i="33"/>
  <c r="G14" i="33"/>
  <c r="G21" i="33"/>
  <c r="G17" i="33"/>
  <c r="G13" i="33"/>
  <c r="G19" i="33"/>
  <c r="G15" i="33"/>
  <c r="G20" i="33"/>
  <c r="G16" i="33"/>
  <c r="G12" i="33"/>
  <c r="G1180" i="35"/>
  <c r="G1186" i="35"/>
  <c r="G289" i="33"/>
  <c r="G270" i="33"/>
  <c r="G272" i="33"/>
  <c r="G282" i="33"/>
  <c r="G288" i="33"/>
  <c r="G290" i="33"/>
  <c r="G269" i="33"/>
  <c r="G271" i="33"/>
  <c r="G194" i="33"/>
  <c r="G196" i="33"/>
  <c r="G199" i="33"/>
  <c r="G201" i="33" s="1"/>
  <c r="G195" i="33"/>
  <c r="G208" i="33"/>
  <c r="G210" i="33"/>
  <c r="G212" i="33"/>
  <c r="G214" i="33"/>
  <c r="G216" i="33"/>
  <c r="G218" i="33"/>
  <c r="G220" i="33"/>
  <c r="G207" i="33"/>
  <c r="G131" i="33"/>
  <c r="G132" i="33" s="1"/>
  <c r="E132" i="33" s="1"/>
  <c r="G134" i="33"/>
  <c r="G141" i="33" s="1"/>
  <c r="E141" i="33" s="1"/>
  <c r="G85" i="33"/>
  <c r="G83" i="33"/>
  <c r="G71" i="33"/>
  <c r="G84" i="33"/>
  <c r="G70" i="33"/>
  <c r="G1190" i="35"/>
  <c r="G1191" i="35" s="1"/>
  <c r="G1129" i="35"/>
  <c r="G1130" i="35"/>
  <c r="G1083" i="35"/>
  <c r="G1085" i="35"/>
  <c r="G1084" i="35"/>
  <c r="G1086" i="35"/>
  <c r="G1023" i="35"/>
  <c r="G1076" i="35"/>
  <c r="G1078" i="35" s="1"/>
  <c r="G1024" i="35"/>
  <c r="G1016" i="35"/>
  <c r="G1019" i="35"/>
  <c r="G1020" i="35"/>
  <c r="G1017" i="35"/>
  <c r="G1018" i="35"/>
  <c r="G941" i="35"/>
  <c r="G960" i="35"/>
  <c r="G958" i="35"/>
  <c r="G956" i="35"/>
  <c r="G954" i="35"/>
  <c r="G952" i="35"/>
  <c r="G950" i="35"/>
  <c r="G949" i="35"/>
  <c r="G959" i="35"/>
  <c r="G957" i="35"/>
  <c r="G955" i="35"/>
  <c r="G953" i="35"/>
  <c r="G951" i="35"/>
  <c r="G886" i="35"/>
  <c r="G798" i="35"/>
  <c r="F798" i="35" s="1"/>
  <c r="G797" i="35"/>
  <c r="G224" i="33" l="1"/>
  <c r="E224" i="33" s="1"/>
  <c r="G273" i="33"/>
  <c r="F886" i="35"/>
  <c r="F887" i="35" s="1"/>
  <c r="G887" i="35"/>
  <c r="G1027" i="35"/>
  <c r="F941" i="35"/>
  <c r="F944" i="35" s="1"/>
  <c r="G944" i="35"/>
  <c r="F797" i="35"/>
  <c r="F800" i="35" s="1"/>
  <c r="G800" i="35"/>
  <c r="G961" i="35"/>
  <c r="E961" i="35" s="1"/>
  <c r="G23" i="33"/>
  <c r="E23" i="33" s="1"/>
  <c r="G671" i="35" l="1"/>
  <c r="F671" i="35" s="1"/>
  <c r="G572" i="35"/>
  <c r="G624" i="35"/>
  <c r="F624" i="35" l="1"/>
  <c r="F626" i="35" s="1"/>
  <c r="G626" i="35"/>
  <c r="F572" i="35"/>
  <c r="G525" i="35"/>
  <c r="G409" i="35"/>
  <c r="G402" i="35"/>
  <c r="F402" i="35" s="1"/>
  <c r="G410" i="35"/>
  <c r="G355" i="35"/>
  <c r="G354" i="35"/>
  <c r="G304" i="35"/>
  <c r="G306" i="35" s="1"/>
  <c r="G264" i="35"/>
  <c r="G265" i="35"/>
  <c r="G279" i="35"/>
  <c r="G281" i="35" s="1"/>
  <c r="G288" i="35"/>
  <c r="G287" i="35"/>
  <c r="G256" i="35"/>
  <c r="G258" i="35" s="1"/>
  <c r="G253" i="35"/>
  <c r="G226" i="35"/>
  <c r="G229" i="35"/>
  <c r="G231" i="35" s="1"/>
  <c r="G236" i="35"/>
  <c r="G177" i="35"/>
  <c r="G186" i="35"/>
  <c r="G180" i="35"/>
  <c r="G129" i="35"/>
  <c r="G127" i="35"/>
  <c r="G128" i="35"/>
  <c r="G121" i="35"/>
  <c r="G120" i="35"/>
  <c r="G103" i="35"/>
  <c r="G102" i="35"/>
  <c r="G106" i="35"/>
  <c r="G104" i="35"/>
  <c r="G105" i="35"/>
  <c r="G357" i="35" l="1"/>
  <c r="F525" i="35"/>
  <c r="F527" i="35" s="1"/>
  <c r="G527" i="35"/>
  <c r="G107" i="35"/>
  <c r="E107" i="35" s="1"/>
  <c r="G33" i="35"/>
  <c r="G36" i="35"/>
  <c r="G35" i="35"/>
  <c r="G29" i="35"/>
  <c r="G30" i="35"/>
  <c r="G31" i="35"/>
  <c r="G32" i="35"/>
  <c r="G34" i="35"/>
  <c r="G84" i="35"/>
  <c r="G37" i="35"/>
  <c r="G89" i="35"/>
  <c r="G87" i="35"/>
  <c r="G88" i="35"/>
  <c r="G86" i="35"/>
  <c r="G85" i="35"/>
  <c r="G94" i="35"/>
  <c r="G95" i="35" s="1"/>
  <c r="G92" i="35" l="1"/>
  <c r="E92" i="35" s="1"/>
  <c r="G38" i="35"/>
  <c r="E38" i="35" l="1"/>
  <c r="G21" i="35"/>
  <c r="G22" i="35"/>
  <c r="G12" i="35"/>
  <c r="G534" i="45" l="1"/>
  <c r="G545" i="45"/>
  <c r="G475" i="45" l="1"/>
  <c r="G476" i="45" s="1"/>
  <c r="E476" i="45" s="1"/>
  <c r="G536" i="45"/>
  <c r="G508" i="45"/>
  <c r="G548" i="45"/>
  <c r="G550" i="45" s="1"/>
  <c r="G524" i="45"/>
  <c r="G518" i="45"/>
  <c r="G467" i="45"/>
  <c r="G468" i="45"/>
  <c r="G408" i="45"/>
  <c r="G409" i="45" s="1"/>
  <c r="G392" i="45"/>
  <c r="G247" i="45"/>
  <c r="G187" i="45"/>
  <c r="G138" i="45"/>
  <c r="G139" i="45"/>
  <c r="G140" i="45"/>
  <c r="G141" i="45"/>
  <c r="G142" i="45"/>
  <c r="G76" i="45"/>
  <c r="G78" i="45"/>
  <c r="G80" i="45"/>
  <c r="G82" i="45"/>
  <c r="G75" i="45"/>
  <c r="G103" i="45" l="1"/>
  <c r="G414" i="45"/>
  <c r="G423" i="45"/>
  <c r="F423" i="45" s="1"/>
  <c r="G421" i="45"/>
  <c r="F421" i="45" s="1"/>
  <c r="G419" i="45"/>
  <c r="F419" i="45" s="1"/>
  <c r="G417" i="45"/>
  <c r="F417" i="45" s="1"/>
  <c r="G424" i="45"/>
  <c r="F424" i="45" s="1"/>
  <c r="G422" i="45"/>
  <c r="F422" i="45" s="1"/>
  <c r="G420" i="45"/>
  <c r="F420" i="45" s="1"/>
  <c r="G418" i="45"/>
  <c r="F418" i="45" s="1"/>
  <c r="G416" i="45"/>
  <c r="F416" i="45" s="1"/>
  <c r="E550" i="45"/>
  <c r="G105" i="45"/>
  <c r="G77" i="45"/>
  <c r="G102" i="45"/>
  <c r="G262" i="45"/>
  <c r="G266" i="45"/>
  <c r="G106" i="45"/>
  <c r="G263" i="45"/>
  <c r="G109" i="45"/>
  <c r="G107" i="45"/>
  <c r="G108" i="45"/>
  <c r="G104" i="45"/>
  <c r="G265" i="45"/>
  <c r="G264" i="45"/>
  <c r="G261" i="45"/>
  <c r="G137" i="45"/>
  <c r="G405" i="45"/>
  <c r="G294" i="45"/>
  <c r="G296" i="45" s="1"/>
  <c r="G246" i="45"/>
  <c r="G252" i="45"/>
  <c r="G248" i="45"/>
  <c r="G251" i="45"/>
  <c r="G128" i="45"/>
  <c r="G131" i="45" s="1"/>
  <c r="G83" i="45"/>
  <c r="G81" i="45"/>
  <c r="G79" i="45"/>
  <c r="G85" i="45" l="1"/>
  <c r="G291" i="45"/>
  <c r="G144" i="45"/>
  <c r="E144" i="45" s="1"/>
  <c r="G267" i="45"/>
  <c r="G216" i="45"/>
  <c r="G188" i="45"/>
  <c r="G189" i="45" s="1"/>
  <c r="E189" i="45" l="1"/>
  <c r="G190" i="45"/>
  <c r="E190" i="45" s="1"/>
  <c r="G292" i="45"/>
  <c r="E292" i="45" s="1"/>
  <c r="E216" i="45"/>
  <c r="E267" i="45"/>
  <c r="E536" i="45"/>
  <c r="G36" i="45" l="1"/>
  <c r="E36" i="45" l="1"/>
  <c r="F196" i="33"/>
  <c r="F222" i="33" l="1"/>
  <c r="F1018" i="35" l="1"/>
  <c r="F120" i="35" l="1"/>
  <c r="F141" i="45" l="1"/>
  <c r="F548" i="45" l="1"/>
  <c r="F550" i="45" s="1"/>
  <c r="F248" i="45" l="1"/>
  <c r="E15" i="12" l="1"/>
  <c r="E20" i="3"/>
  <c r="E19" i="21"/>
  <c r="F83" i="45" l="1"/>
  <c r="E65" i="17" l="1"/>
  <c r="F81" i="45" l="1"/>
  <c r="G237" i="35" l="1"/>
  <c r="G239" i="35" s="1"/>
  <c r="F1129" i="35" l="1"/>
  <c r="G1131" i="35" l="1"/>
  <c r="F1130" i="35"/>
  <c r="E1131" i="35" l="1"/>
  <c r="E1132" i="35" s="1"/>
  <c r="F1131" i="35"/>
  <c r="F1132" i="35" s="1"/>
  <c r="G1132" i="35"/>
  <c r="F545" i="45" l="1"/>
  <c r="F546" i="45" l="1"/>
  <c r="F534" i="45"/>
  <c r="G546" i="45"/>
  <c r="F551" i="45" l="1"/>
  <c r="G551" i="45"/>
  <c r="F536" i="45"/>
  <c r="E79" i="3" l="1"/>
  <c r="D69" i="17" l="1"/>
  <c r="E64" i="17"/>
  <c r="F19" i="17" l="1"/>
  <c r="F66" i="17"/>
  <c r="F69" i="17"/>
  <c r="E68" i="17"/>
  <c r="E10" i="17"/>
  <c r="E63" i="17"/>
  <c r="E66" i="17" s="1"/>
  <c r="D66" i="17" l="1"/>
  <c r="F21" i="17"/>
  <c r="D19" i="17"/>
  <c r="E19" i="17"/>
  <c r="F70" i="17"/>
  <c r="E69" i="17"/>
  <c r="D70" i="17" l="1"/>
  <c r="E21" i="17"/>
  <c r="E70" i="17"/>
  <c r="D80" i="34" l="1"/>
  <c r="E77" i="34"/>
  <c r="E79" i="34"/>
  <c r="F19" i="34"/>
  <c r="E10" i="34"/>
  <c r="E11" i="34"/>
  <c r="E12" i="34"/>
  <c r="E13" i="34"/>
  <c r="E14" i="34"/>
  <c r="E15" i="34"/>
  <c r="E16" i="34"/>
  <c r="E17" i="34"/>
  <c r="E18" i="34"/>
  <c r="F75" i="34"/>
  <c r="E69" i="34"/>
  <c r="D75" i="34" l="1"/>
  <c r="E80" i="34"/>
  <c r="F21" i="34"/>
  <c r="D19" i="34"/>
  <c r="F81" i="34"/>
  <c r="E19" i="34"/>
  <c r="E75" i="34"/>
  <c r="D81" i="34" l="1"/>
  <c r="E21" i="34"/>
  <c r="E81" i="34"/>
  <c r="E68" i="3" l="1"/>
  <c r="G1192" i="35" l="1"/>
  <c r="E1192" i="35" l="1"/>
  <c r="F1190" i="35"/>
  <c r="F1191" i="35" l="1"/>
  <c r="F1192" i="35" l="1"/>
  <c r="D146" i="21" l="1"/>
  <c r="D78" i="21"/>
  <c r="D64" i="4"/>
  <c r="E628" i="33"/>
  <c r="E488" i="33"/>
  <c r="E335" i="33"/>
  <c r="E306" i="33"/>
  <c r="E307" i="33" s="1"/>
  <c r="E282" i="33"/>
  <c r="E201" i="33" l="1"/>
  <c r="E78" i="33"/>
  <c r="E574" i="35" l="1"/>
  <c r="E575" i="35" s="1"/>
  <c r="E231" i="35" l="1"/>
  <c r="E181" i="35"/>
  <c r="G122" i="35"/>
  <c r="E122" i="35" s="1"/>
  <c r="F121" i="35" l="1"/>
  <c r="G123" i="35"/>
  <c r="E123" i="35" s="1"/>
  <c r="F122" i="35" l="1"/>
  <c r="F123" i="35" s="1"/>
  <c r="F408" i="45"/>
  <c r="F409" i="45" s="1"/>
  <c r="F405" i="45"/>
  <c r="E406" i="45"/>
  <c r="F406" i="45" l="1"/>
  <c r="F467" i="45"/>
  <c r="E409" i="45"/>
  <c r="G469" i="45"/>
  <c r="F468" i="45"/>
  <c r="G406" i="45"/>
  <c r="E469" i="45" l="1"/>
  <c r="G470" i="45"/>
  <c r="E470" i="45" s="1"/>
  <c r="F410" i="45"/>
  <c r="G410" i="45"/>
  <c r="E410" i="45" s="1"/>
  <c r="F469" i="45"/>
  <c r="E253" i="45"/>
  <c r="F251" i="45"/>
  <c r="F252" i="45"/>
  <c r="F470" i="45" l="1"/>
  <c r="F188" i="45"/>
  <c r="F253" i="45"/>
  <c r="G253" i="45"/>
  <c r="F187" i="45"/>
  <c r="E90" i="45"/>
  <c r="F189" i="45" l="1"/>
  <c r="F190" i="45" s="1"/>
  <c r="F246" i="45" l="1"/>
  <c r="F271" i="33" l="1"/>
  <c r="E139" i="21" l="1"/>
  <c r="E141" i="21" s="1"/>
  <c r="E519" i="45"/>
  <c r="E520" i="45" s="1"/>
  <c r="G519" i="45" l="1"/>
  <c r="F518" i="45" l="1"/>
  <c r="F519" i="45" l="1"/>
  <c r="G227" i="35"/>
  <c r="E227" i="35" s="1"/>
  <c r="G520" i="45"/>
  <c r="F226" i="35"/>
  <c r="F520" i="45" l="1"/>
  <c r="F227" i="35"/>
  <c r="F1024" i="35"/>
  <c r="F1017" i="35"/>
  <c r="F1020" i="35"/>
  <c r="F1019" i="35" l="1"/>
  <c r="F1180" i="35" l="1"/>
  <c r="F1181" i="35" l="1"/>
  <c r="F1182" i="35" s="1"/>
  <c r="G1181" i="35"/>
  <c r="E1181" i="35" l="1"/>
  <c r="E1182" i="35" s="1"/>
  <c r="G1182" i="35"/>
  <c r="F392" i="33" l="1"/>
  <c r="F355" i="35" l="1"/>
  <c r="E546" i="45" l="1"/>
  <c r="E525" i="45"/>
  <c r="E509" i="45"/>
  <c r="F266" i="45"/>
  <c r="F265" i="45"/>
  <c r="F264" i="45"/>
  <c r="F263" i="45"/>
  <c r="F262" i="45"/>
  <c r="F261" i="45"/>
  <c r="E131" i="45"/>
  <c r="E132" i="45" s="1"/>
  <c r="F102" i="45"/>
  <c r="E551" i="45" l="1"/>
  <c r="G249" i="45"/>
  <c r="E85" i="45"/>
  <c r="G509" i="45"/>
  <c r="F142" i="45"/>
  <c r="E296" i="45"/>
  <c r="G425" i="45"/>
  <c r="E425" i="45" s="1"/>
  <c r="F508" i="45"/>
  <c r="F247" i="45"/>
  <c r="F291" i="45"/>
  <c r="F292" i="45" s="1"/>
  <c r="F106" i="45"/>
  <c r="F104" i="45"/>
  <c r="F108" i="45"/>
  <c r="F138" i="45"/>
  <c r="F103" i="45"/>
  <c r="F105" i="45"/>
  <c r="F107" i="45"/>
  <c r="F109" i="45"/>
  <c r="F267" i="45"/>
  <c r="F139" i="45"/>
  <c r="F140" i="45"/>
  <c r="F75" i="45"/>
  <c r="F76" i="45"/>
  <c r="F77" i="45"/>
  <c r="F78" i="45"/>
  <c r="F79" i="45"/>
  <c r="F80" i="45"/>
  <c r="F82" i="45"/>
  <c r="F128" i="45"/>
  <c r="F131" i="45" s="1"/>
  <c r="F137" i="45"/>
  <c r="F414" i="45"/>
  <c r="F294" i="45"/>
  <c r="F296" i="45" s="1"/>
  <c r="F392" i="45"/>
  <c r="G393" i="45"/>
  <c r="F524" i="45"/>
  <c r="G525" i="45"/>
  <c r="F475" i="45"/>
  <c r="F476" i="45" s="1"/>
  <c r="E393" i="45" l="1"/>
  <c r="F85" i="45"/>
  <c r="F36" i="45"/>
  <c r="E249" i="45"/>
  <c r="G254" i="45"/>
  <c r="E254" i="45" s="1"/>
  <c r="F132" i="45"/>
  <c r="F216" i="45"/>
  <c r="F249" i="45"/>
  <c r="F254" i="45" s="1"/>
  <c r="F509" i="45"/>
  <c r="F393" i="45"/>
  <c r="F525" i="45"/>
  <c r="G297" i="45"/>
  <c r="G91" i="45"/>
  <c r="E91" i="45" s="1"/>
  <c r="F425" i="45"/>
  <c r="F144" i="45"/>
  <c r="G132" i="45"/>
  <c r="E297" i="45" l="1"/>
  <c r="F297" i="45"/>
  <c r="F91" i="45"/>
  <c r="F219" i="33" l="1"/>
  <c r="G628" i="33"/>
  <c r="G629" i="33" l="1"/>
  <c r="F627" i="33"/>
  <c r="E629" i="33" l="1"/>
  <c r="F628" i="33"/>
  <c r="F629" i="33" s="1"/>
  <c r="F572" i="33" l="1"/>
  <c r="F573" i="33" l="1"/>
  <c r="E66" i="3"/>
  <c r="F571" i="33"/>
  <c r="G574" i="33"/>
  <c r="F526" i="33"/>
  <c r="E574" i="33" l="1"/>
  <c r="F574" i="33"/>
  <c r="E1027" i="35" l="1"/>
  <c r="F1023" i="35"/>
  <c r="F1027" i="35" s="1"/>
  <c r="E1078" i="35" l="1"/>
  <c r="F1076" i="35"/>
  <c r="F1078" i="35" s="1"/>
  <c r="F1079" i="35" l="1"/>
  <c r="G1079" i="35"/>
  <c r="F1016" i="35"/>
  <c r="G1021" i="35"/>
  <c r="E1079" i="35" l="1"/>
  <c r="G1028" i="35"/>
  <c r="E1028" i="35" s="1"/>
  <c r="E1021" i="35"/>
  <c r="F1021" i="35"/>
  <c r="F1028" i="35" s="1"/>
  <c r="F409" i="35" l="1"/>
  <c r="F410" i="35" l="1"/>
  <c r="G411" i="35"/>
  <c r="E411" i="35" s="1"/>
  <c r="F411" i="35" l="1"/>
  <c r="F147" i="21"/>
  <c r="D147" i="21" s="1"/>
  <c r="F159" i="21" l="1"/>
  <c r="D159" i="21" s="1"/>
  <c r="F161" i="21"/>
  <c r="D72" i="22"/>
  <c r="E71" i="22"/>
  <c r="E72" i="22" s="1"/>
  <c r="E143" i="21"/>
  <c r="E76" i="21"/>
  <c r="E78" i="21" s="1"/>
  <c r="E146" i="21" l="1"/>
  <c r="E147" i="21" s="1"/>
  <c r="D161" i="21"/>
  <c r="E159" i="21"/>
  <c r="E161" i="21" l="1"/>
  <c r="G488" i="33"/>
  <c r="G489" i="33" l="1"/>
  <c r="G307" i="33"/>
  <c r="F64" i="4"/>
  <c r="G393" i="33"/>
  <c r="E393" i="33" s="1"/>
  <c r="G335" i="33"/>
  <c r="F199" i="33"/>
  <c r="F201" i="33" s="1"/>
  <c r="F74" i="33"/>
  <c r="F78" i="33" s="1"/>
  <c r="E77" i="3"/>
  <c r="E80" i="3" s="1"/>
  <c r="E63" i="4"/>
  <c r="F391" i="33"/>
  <c r="F577" i="33"/>
  <c r="F578" i="33" s="1"/>
  <c r="F487" i="33"/>
  <c r="F334" i="33"/>
  <c r="F304" i="33"/>
  <c r="F306" i="33" s="1"/>
  <c r="F282" i="33"/>
  <c r="F134" i="33"/>
  <c r="F141" i="33" s="1"/>
  <c r="E489" i="33" l="1"/>
  <c r="D80" i="3"/>
  <c r="G579" i="33"/>
  <c r="F307" i="33"/>
  <c r="F488" i="33"/>
  <c r="F489" i="33" s="1"/>
  <c r="F393" i="33"/>
  <c r="E64" i="4"/>
  <c r="F579" i="33"/>
  <c r="F335" i="33"/>
  <c r="E579" i="33" l="1"/>
  <c r="E944" i="35"/>
  <c r="E945" i="35" s="1"/>
  <c r="G945" i="35"/>
  <c r="E887" i="35"/>
  <c r="E888" i="35" s="1"/>
  <c r="E844" i="35"/>
  <c r="G844" i="35"/>
  <c r="E800" i="35"/>
  <c r="E720" i="35"/>
  <c r="E721" i="35" s="1"/>
  <c r="G721" i="35"/>
  <c r="E672" i="35"/>
  <c r="E673" i="35" s="1"/>
  <c r="E626" i="35"/>
  <c r="E627" i="35" s="1"/>
  <c r="G627" i="35"/>
  <c r="G575" i="35"/>
  <c r="E527" i="35"/>
  <c r="E528" i="35" s="1"/>
  <c r="G403" i="35"/>
  <c r="E403" i="35" s="1"/>
  <c r="E357" i="35"/>
  <c r="E306" i="35"/>
  <c r="E281" i="35"/>
  <c r="G888" i="35" l="1"/>
  <c r="G232" i="35"/>
  <c r="E232" i="35" s="1"/>
  <c r="E480" i="35"/>
  <c r="G282" i="35"/>
  <c r="E282" i="35" s="1"/>
  <c r="G358" i="35"/>
  <c r="E358" i="35" s="1"/>
  <c r="G404" i="35"/>
  <c r="E404" i="35" s="1"/>
  <c r="G307" i="35"/>
  <c r="E307" i="35" s="1"/>
  <c r="E258" i="35"/>
  <c r="G801" i="35"/>
  <c r="F256" i="35"/>
  <c r="F258" i="35" s="1"/>
  <c r="G181" i="35"/>
  <c r="F354" i="35"/>
  <c r="F357" i="35" s="1"/>
  <c r="G672" i="35"/>
  <c r="G673" i="35" s="1"/>
  <c r="F94" i="35"/>
  <c r="F95" i="35" s="1"/>
  <c r="G528" i="35"/>
  <c r="F304" i="35"/>
  <c r="F306" i="35" s="1"/>
  <c r="F279" i="35"/>
  <c r="F281" i="35" s="1"/>
  <c r="F229" i="35"/>
  <c r="F231" i="35" s="1"/>
  <c r="F180" i="35"/>
  <c r="G481" i="35" l="1"/>
  <c r="E481" i="35" s="1"/>
  <c r="F282" i="35"/>
  <c r="F575" i="35"/>
  <c r="F627" i="35"/>
  <c r="F307" i="35"/>
  <c r="F721" i="35"/>
  <c r="F672" i="35"/>
  <c r="F673" i="35" s="1"/>
  <c r="F844" i="35"/>
  <c r="F945" i="35"/>
  <c r="F181" i="35"/>
  <c r="F403" i="35"/>
  <c r="F404" i="35" s="1"/>
  <c r="F528" i="35"/>
  <c r="F888" i="35"/>
  <c r="E801" i="35"/>
  <c r="F801" i="35"/>
  <c r="F358" i="35" l="1"/>
  <c r="F232" i="35"/>
  <c r="F481" i="35"/>
  <c r="E178" i="35"/>
  <c r="F177" i="35" l="1"/>
  <c r="G178" i="35"/>
  <c r="G182" i="35" s="1"/>
  <c r="E182" i="35" s="1"/>
  <c r="F178" i="35" l="1"/>
  <c r="F182" i="35" s="1"/>
  <c r="G187" i="35"/>
  <c r="E187" i="35" s="1"/>
  <c r="F186" i="35" l="1"/>
  <c r="F187" i="35" l="1"/>
  <c r="E1187" i="35" l="1"/>
  <c r="G1187" i="35" l="1"/>
  <c r="F1186" i="35"/>
  <c r="F1187" i="35" l="1"/>
  <c r="E585" i="33" l="1"/>
  <c r="F584" i="33" l="1"/>
  <c r="G585" i="33"/>
  <c r="F585" i="33" l="1"/>
  <c r="G332" i="33"/>
  <c r="E332" i="33" s="1"/>
  <c r="F270" i="33"/>
  <c r="F71" i="33"/>
  <c r="G336" i="33" l="1"/>
  <c r="E336" i="33" s="1"/>
  <c r="G72" i="33"/>
  <c r="E72" i="33" s="1"/>
  <c r="F331" i="33"/>
  <c r="F272" i="33"/>
  <c r="F72" i="33" l="1"/>
  <c r="F79" i="33" s="1"/>
  <c r="F332" i="33"/>
  <c r="F336" i="33" s="1"/>
  <c r="G79" i="33"/>
  <c r="E79" i="33" s="1"/>
  <c r="E70" i="21" l="1"/>
  <c r="E60" i="4"/>
  <c r="E59" i="4"/>
  <c r="F957" i="35"/>
  <c r="F956" i="35"/>
  <c r="F955" i="35"/>
  <c r="F954" i="35"/>
  <c r="F953" i="35"/>
  <c r="F952" i="35"/>
  <c r="F951" i="35"/>
  <c r="F265" i="35"/>
  <c r="F264" i="35"/>
  <c r="F237" i="35"/>
  <c r="F236" i="35"/>
  <c r="F105" i="35"/>
  <c r="F239" i="35" l="1"/>
  <c r="F950" i="35"/>
  <c r="F958" i="35"/>
  <c r="F960" i="35"/>
  <c r="F959" i="35"/>
  <c r="F288" i="35"/>
  <c r="E61" i="4"/>
  <c r="F1083" i="35"/>
  <c r="F1085" i="35"/>
  <c r="F1084" i="35"/>
  <c r="F1086" i="35"/>
  <c r="F266" i="35"/>
  <c r="F85" i="35"/>
  <c r="F86" i="35"/>
  <c r="F87" i="35"/>
  <c r="F88" i="35"/>
  <c r="F128" i="35"/>
  <c r="F36" i="35"/>
  <c r="F102" i="35"/>
  <c r="F104" i="35"/>
  <c r="F106" i="35"/>
  <c r="G289" i="35"/>
  <c r="E289" i="35" s="1"/>
  <c r="F287" i="35"/>
  <c r="G1087" i="35"/>
  <c r="F29" i="35"/>
  <c r="F84" i="35"/>
  <c r="F89" i="35"/>
  <c r="F127" i="35"/>
  <c r="F129" i="35"/>
  <c r="E239" i="35"/>
  <c r="F103" i="35"/>
  <c r="G254" i="35"/>
  <c r="F253" i="35"/>
  <c r="G266" i="35"/>
  <c r="E266" i="35" s="1"/>
  <c r="F37" i="35"/>
  <c r="F35" i="35"/>
  <c r="F34" i="35"/>
  <c r="F33" i="35"/>
  <c r="F32" i="35"/>
  <c r="F31" i="35"/>
  <c r="F30" i="35"/>
  <c r="E69" i="21"/>
  <c r="F61" i="4"/>
  <c r="G130" i="35"/>
  <c r="E130" i="35" s="1"/>
  <c r="D61" i="4" l="1"/>
  <c r="E254" i="35"/>
  <c r="E1087" i="35"/>
  <c r="F107" i="35"/>
  <c r="F92" i="35"/>
  <c r="F38" i="35"/>
  <c r="F254" i="35"/>
  <c r="G96" i="35"/>
  <c r="E96" i="35" s="1"/>
  <c r="E65" i="4"/>
  <c r="F65" i="4"/>
  <c r="F289" i="35"/>
  <c r="F130" i="35"/>
  <c r="D65" i="4" l="1"/>
  <c r="F96" i="35"/>
  <c r="F22" i="35" l="1"/>
  <c r="F21" i="35"/>
  <c r="F12" i="35"/>
  <c r="F23" i="35" l="1"/>
  <c r="G23" i="35"/>
  <c r="G13" i="35"/>
  <c r="E23" i="35" l="1"/>
  <c r="E13" i="35"/>
  <c r="F24" i="35"/>
  <c r="G24" i="35"/>
  <c r="E24" i="35" s="1"/>
  <c r="F1087" i="35"/>
  <c r="F13" i="35" l="1"/>
  <c r="E73" i="3" l="1"/>
  <c r="F528" i="33" l="1"/>
  <c r="E389" i="33"/>
  <c r="F343" i="33" l="1"/>
  <c r="F344" i="33"/>
  <c r="G346" i="33"/>
  <c r="E346" i="33" s="1"/>
  <c r="F342" i="33"/>
  <c r="G529" i="33"/>
  <c r="G389" i="33"/>
  <c r="F527" i="33"/>
  <c r="F388" i="33"/>
  <c r="F525" i="33"/>
  <c r="F340" i="33"/>
  <c r="F345" i="33"/>
  <c r="F341" i="33"/>
  <c r="G394" i="33" l="1"/>
  <c r="E529" i="33"/>
  <c r="F389" i="33"/>
  <c r="F394" i="33" s="1"/>
  <c r="F529" i="33"/>
  <c r="F346" i="33"/>
  <c r="E394" i="33" l="1"/>
  <c r="F312" i="33"/>
  <c r="F313" i="33"/>
  <c r="F131" i="33"/>
  <c r="F132" i="33" s="1"/>
  <c r="E314" i="33" l="1"/>
  <c r="G197" i="33"/>
  <c r="G153" i="33"/>
  <c r="E153" i="33" s="1"/>
  <c r="G291" i="33"/>
  <c r="E291" i="33" s="1"/>
  <c r="G86" i="33"/>
  <c r="F269" i="33"/>
  <c r="F273" i="33" s="1"/>
  <c r="F152" i="33"/>
  <c r="F83" i="33"/>
  <c r="F290" i="33"/>
  <c r="F85" i="33"/>
  <c r="F288" i="33"/>
  <c r="F289" i="33"/>
  <c r="F149" i="33"/>
  <c r="F150" i="33"/>
  <c r="F195" i="33"/>
  <c r="F194" i="33"/>
  <c r="F151" i="33"/>
  <c r="F84" i="33"/>
  <c r="E197" i="33" l="1"/>
  <c r="E273" i="33"/>
  <c r="E86" i="33"/>
  <c r="F197" i="33"/>
  <c r="F202" i="33" s="1"/>
  <c r="G283" i="33"/>
  <c r="G202" i="33"/>
  <c r="E202" i="33" s="1"/>
  <c r="G142" i="33"/>
  <c r="E142" i="33" s="1"/>
  <c r="F142" i="33"/>
  <c r="F283" i="33"/>
  <c r="F291" i="33"/>
  <c r="F153" i="33"/>
  <c r="F86" i="33"/>
  <c r="E283" i="33" l="1"/>
  <c r="F209" i="33"/>
  <c r="F207" i="33" l="1"/>
  <c r="F208" i="33"/>
  <c r="F210" i="33"/>
  <c r="F212" i="33"/>
  <c r="F221" i="33"/>
  <c r="F214" i="33"/>
  <c r="F220" i="33"/>
  <c r="F211" i="33"/>
  <c r="F213" i="33"/>
  <c r="F215" i="33"/>
  <c r="F216" i="33"/>
  <c r="F217" i="33"/>
  <c r="F218" i="33"/>
  <c r="F224" i="33" l="1"/>
  <c r="F11" i="33"/>
  <c r="F17" i="33"/>
  <c r="F20" i="33"/>
  <c r="F13" i="33"/>
  <c r="F19" i="33"/>
  <c r="F16" i="33"/>
  <c r="F14" i="33"/>
  <c r="F12" i="33"/>
  <c r="F15" i="33"/>
  <c r="F18" i="33"/>
  <c r="F23" i="33" l="1"/>
  <c r="F314" i="33"/>
  <c r="E68" i="22" l="1"/>
  <c r="E67" i="22"/>
  <c r="E69" i="22" s="1"/>
  <c r="F62" i="12" l="1"/>
  <c r="F16" i="12"/>
  <c r="F20" i="22"/>
  <c r="E10" i="12"/>
  <c r="E13" i="12"/>
  <c r="E14" i="12"/>
  <c r="E10" i="22"/>
  <c r="E73" i="22"/>
  <c r="E61" i="12"/>
  <c r="E12" i="12"/>
  <c r="E60" i="12"/>
  <c r="E11" i="12"/>
  <c r="D69" i="22" l="1"/>
  <c r="F73" i="22"/>
  <c r="D62" i="12"/>
  <c r="D20" i="22"/>
  <c r="F18" i="12"/>
  <c r="D16" i="12"/>
  <c r="F22" i="22"/>
  <c r="F63" i="12"/>
  <c r="E62" i="12"/>
  <c r="E16" i="12"/>
  <c r="E20" i="22"/>
  <c r="D73" i="22" l="1"/>
  <c r="D63" i="12"/>
  <c r="E18" i="12"/>
  <c r="E22" i="22"/>
  <c r="E63" i="12"/>
  <c r="F21" i="3" l="1"/>
  <c r="E11" i="3"/>
  <c r="E13" i="3"/>
  <c r="E15" i="3"/>
  <c r="E17" i="3"/>
  <c r="E19" i="3"/>
  <c r="E14" i="3"/>
  <c r="E16" i="3"/>
  <c r="E18" i="3"/>
  <c r="E67" i="3"/>
  <c r="E70" i="3"/>
  <c r="E72" i="3"/>
  <c r="E69" i="3"/>
  <c r="E71" i="3"/>
  <c r="E73" i="21"/>
  <c r="E72" i="21"/>
  <c r="E71" i="21"/>
  <c r="E75" i="3" l="1"/>
  <c r="D75" i="3"/>
  <c r="D21" i="3"/>
  <c r="F95" i="21"/>
  <c r="D95" i="21" s="1"/>
  <c r="E21" i="3"/>
  <c r="F20" i="21"/>
  <c r="F81" i="3"/>
  <c r="E68" i="21"/>
  <c r="F74" i="21"/>
  <c r="E91" i="21"/>
  <c r="E92" i="21"/>
  <c r="E90" i="21"/>
  <c r="E89" i="21"/>
  <c r="E16" i="21"/>
  <c r="E12" i="21"/>
  <c r="E15" i="21"/>
  <c r="E18" i="21"/>
  <c r="E14" i="21"/>
  <c r="E17" i="21"/>
  <c r="E13" i="21"/>
  <c r="D81" i="3" l="1"/>
  <c r="F157" i="21"/>
  <c r="D157" i="21" s="1"/>
  <c r="D74" i="21"/>
  <c r="D20" i="21"/>
  <c r="E74" i="21"/>
  <c r="E157" i="21" s="1"/>
  <c r="E95" i="21"/>
  <c r="E20" i="21"/>
  <c r="F150" i="21"/>
  <c r="F79" i="21"/>
  <c r="E81" i="3"/>
  <c r="D79" i="21" l="1"/>
  <c r="E79" i="21"/>
  <c r="E162" i="21" s="1"/>
  <c r="D150" i="21"/>
  <c r="E150" i="21"/>
  <c r="F162" i="21"/>
  <c r="D162" i="21" l="1"/>
  <c r="E13" i="4" l="1"/>
  <c r="E14" i="4"/>
  <c r="E12" i="4"/>
  <c r="E11" i="4"/>
  <c r="F15" i="4"/>
  <c r="D15" i="4" l="1"/>
  <c r="F17" i="4"/>
  <c r="E15" i="4"/>
  <c r="E17" i="4" l="1"/>
  <c r="G259" i="35" l="1"/>
  <c r="F259" i="35"/>
  <c r="E259" i="35" l="1"/>
  <c r="F949" i="35"/>
  <c r="F961" i="35" s="1"/>
  <c r="G110" i="45" l="1"/>
  <c r="F110" i="45" s="1"/>
  <c r="G111" i="45" l="1"/>
  <c r="F111" i="45"/>
  <c r="E111" i="45" l="1"/>
</calcChain>
</file>

<file path=xl/sharedStrings.xml><?xml version="1.0" encoding="utf-8"?>
<sst xmlns="http://schemas.openxmlformats.org/spreadsheetml/2006/main" count="3000" uniqueCount="341">
  <si>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</si>
  <si>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</si>
  <si>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</si>
  <si>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</si>
  <si>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</si>
  <si>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</si>
  <si>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</si>
  <si>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</si>
  <si>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</si>
  <si>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</si>
  <si>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</si>
  <si>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</si>
  <si>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</si>
  <si>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</si>
  <si>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</si>
  <si>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</si>
  <si>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</si>
  <si>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</si>
  <si>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</si>
  <si>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</si>
  <si>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</si>
  <si>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</si>
  <si>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</si>
  <si>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</si>
  <si>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</si>
  <si>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</si>
  <si>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</si>
  <si>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</si>
  <si>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</si>
  <si>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</si>
  <si>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</si>
  <si>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</si>
  <si>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</si>
  <si>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</si>
  <si>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</si>
  <si>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</si>
  <si>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</si>
  <si>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</si>
  <si>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</si>
  <si>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</si>
  <si>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</si>
  <si>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</si>
  <si>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</si>
  <si>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</si>
  <si>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</si>
  <si>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</si>
  <si>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</si>
  <si>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</si>
  <si>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</si>
  <si>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</si>
  <si>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</si>
  <si>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</si>
  <si>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</si>
  <si>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</si>
  <si>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</si>
  <si>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</si>
  <si>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</si>
  <si>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</si>
  <si>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</si>
  <si>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</si>
  <si>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</si>
  <si>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</si>
  <si>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</si>
  <si>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</si>
  <si>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</si>
  <si>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</si>
  <si>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</si>
  <si>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</si>
  <si>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</si>
  <si>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</si>
  <si>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</si>
  <si>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</si>
  <si>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терапевтические  </t>
  </si>
  <si>
    <t xml:space="preserve">хирургические  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</si>
  <si>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</si>
  <si>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</si>
  <si>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</si>
  <si>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</si>
  <si>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</si>
  <si>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</si>
  <si>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</si>
  <si>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</si>
  <si>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</si>
  <si>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</si>
  <si>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</si>
  <si>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</si>
  <si>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</si>
  <si>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</si>
  <si>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</si>
  <si>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</si>
  <si>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</si>
  <si>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</si>
  <si>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</si>
  <si>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1. КГБУЗ "Амурская центральная районная больница" МЗХК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</si>
  <si>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</si>
  <si>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</si>
  <si>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</si>
  <si>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</si>
  <si>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1. КГБУЗ "Троицкая центральная районная больница" МЗХК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</si>
  <si>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</si>
  <si>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</si>
  <si>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</si>
  <si>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</si>
  <si>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</si>
  <si>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</si>
  <si>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</si>
  <si>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</si>
  <si>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</si>
  <si>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</si>
  <si>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</si>
  <si>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</si>
  <si>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</si>
  <si>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</si>
  <si>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</si>
  <si>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</si>
  <si>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</si>
  <si>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</si>
  <si>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</si>
  <si>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</si>
  <si>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</si>
  <si>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ИССЛЕДОВАНИЯ:</t>
  </si>
  <si>
    <t>МРТ с контрастным исследованием</t>
  </si>
  <si>
    <t xml:space="preserve">2. КГАУЗ "Амурская стоматологическая поликлиника" МЗХК 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</si>
  <si>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</si>
  <si>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</si>
  <si>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</si>
  <si>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</si>
  <si>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</si>
  <si>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</si>
  <si>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</si>
  <si>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</si>
  <si>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</si>
  <si>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</si>
  <si>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</si>
  <si>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</si>
  <si>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</si>
  <si>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4. КГБУЗ "Детская краевая клиническая больница" имени А.К. Пиотровича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</si>
  <si>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</si>
  <si>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</si>
  <si>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</si>
  <si>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</si>
  <si>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</si>
  <si>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</si>
  <si>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Полное офтальмологическое диагностическое обследование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</si>
  <si>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</si>
  <si>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</si>
  <si>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</si>
  <si>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КГБУЗ "Районная больница района имени Лазо" МЗХК</t>
  </si>
  <si>
    <t>КГБУЗ "Солнечная районная больница" МЗХК</t>
  </si>
  <si>
    <t>9. КГБУЗ "Стоматологическая поликлиника "Регион"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</si>
  <si>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</si>
  <si>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</si>
  <si>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</si>
  <si>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</si>
  <si>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</si>
  <si>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</si>
  <si>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</si>
  <si>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</si>
  <si>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</si>
  <si>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</si>
  <si>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</si>
  <si>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</si>
  <si>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</si>
  <si>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</si>
  <si>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</si>
  <si>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</si>
  <si>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</si>
  <si>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</si>
  <si>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</si>
  <si>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</si>
  <si>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</si>
  <si>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</si>
  <si>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</si>
  <si>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</si>
  <si>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</si>
  <si>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</si>
  <si>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</si>
  <si>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 xml:space="preserve"> КГБУЗ "Ванинская центральная районная больница" МЗХК</t>
  </si>
  <si>
    <t xml:space="preserve"> КГБУЗ "Аяно-Майская центральная районная больница" МЗХК</t>
  </si>
  <si>
    <t>КГБУЗ "Николаевская-на-Амуре центральная районная больница"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</si>
  <si>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</si>
  <si>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</si>
  <si>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1. КГБУЗ "Городская больница № 2" им. Д.Н.Матвеева  МЗХК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</si>
  <si>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</si>
  <si>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</si>
  <si>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</si>
  <si>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</si>
  <si>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</si>
  <si>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</si>
  <si>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</si>
  <si>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психоневрологические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</si>
  <si>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</si>
  <si>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</si>
  <si>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</si>
  <si>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</si>
  <si>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</si>
  <si>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</si>
  <si>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</si>
  <si>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</si>
  <si>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Паллиативная медицинская помощь</t>
  </si>
  <si>
    <t>ВСЕГО - КС + паллиативная помощь</t>
  </si>
  <si>
    <t>венерологические</t>
  </si>
  <si>
    <t>26. Хабаровская поликлиника ФГБУЗ "Дальневосточный окружной медицинский центр ФМБА"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</si>
  <si>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</si>
  <si>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</si>
  <si>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</si>
  <si>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</si>
  <si>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</si>
  <si>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</si>
  <si>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</si>
  <si>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</si>
  <si>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</si>
  <si>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</si>
  <si>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</si>
  <si>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</si>
  <si>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</si>
  <si>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</si>
  <si>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</si>
  <si>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</si>
  <si>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</si>
  <si>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</si>
  <si>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</si>
  <si>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</si>
  <si>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</si>
  <si>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</si>
  <si>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</si>
  <si>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</si>
  <si>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</si>
  <si>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</si>
  <si>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</si>
  <si>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</si>
  <si>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</si>
  <si>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</si>
  <si>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</si>
  <si>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</si>
  <si>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</si>
  <si>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</si>
  <si>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</si>
  <si>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</si>
  <si>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</si>
  <si>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</si>
  <si>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</si>
  <si>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</si>
  <si>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</si>
  <si>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</si>
  <si>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</si>
  <si>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</si>
  <si>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</si>
  <si>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</si>
  <si>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</si>
  <si>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</si>
  <si>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</si>
  <si>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</si>
  <si>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</si>
  <si>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</si>
  <si>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</si>
  <si>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</si>
  <si>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</si>
  <si>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</si>
  <si>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</si>
  <si>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</si>
  <si>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</si>
  <si>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</si>
  <si>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</si>
  <si>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</si>
  <si>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</si>
  <si>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</si>
  <si>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</si>
  <si>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</si>
  <si>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</si>
  <si>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</si>
  <si>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</si>
  <si>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</si>
  <si>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ПЦР-диагностика (Real time)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</si>
  <si>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</si>
  <si>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</si>
  <si>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 xml:space="preserve">Лабораторные исследования 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</si>
  <si>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</si>
  <si>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</si>
  <si>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</si>
  <si>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</si>
  <si>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</si>
  <si>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</si>
  <si>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 xml:space="preserve">травматологические и ортопедические                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</si>
  <si>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</si>
  <si>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</si>
  <si>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</si>
  <si>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</si>
  <si>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</si>
  <si>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</si>
  <si>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</si>
  <si>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Перитонеальный диализ с использованием автоматизированных технологий</t>
  </si>
  <si>
    <t>жная</t>
  </si>
  <si>
    <t>Объемы медицинской помощи по территориальной программе обязательного медицинского страхования на 2019 год</t>
  </si>
  <si>
    <t>Объемы медицинской помощи  по территориальной программе обязательного медицинского страхования на 2019 год</t>
  </si>
  <si>
    <t>онкологические опухолей головы и шеи</t>
  </si>
  <si>
    <t xml:space="preserve">4. Посещения в приемных отделениях стационаров при оказании МП пациентам, не нуждающимся в госпитализации </t>
  </si>
  <si>
    <t>онкология</t>
  </si>
  <si>
    <t xml:space="preserve">оториноларингологические  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</si>
  <si>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</si>
  <si>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</si>
  <si>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</si>
  <si>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</si>
  <si>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>1.3. Посещения с иными целями</t>
  </si>
  <si>
    <t>Видеоколоноскопия (эндоскопия)</t>
  </si>
  <si>
    <t xml:space="preserve">   неврологические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</si>
  <si>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</si>
  <si>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</si>
  <si>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</si>
  <si>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</si>
  <si>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</si>
  <si>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</si>
  <si>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 xml:space="preserve">   инфекционные</t>
  </si>
  <si>
    <t>Гемодиализ продолжительный</t>
  </si>
  <si>
    <t>Гемофильтрация крови продолжительная</t>
  </si>
  <si>
    <t>Гемодиафильтрация продолжительная</t>
  </si>
  <si>
    <t>Прижизненные патолого-анатомические исследования 1-5 категории сложности (1 объект)</t>
  </si>
  <si>
    <t>Прижизненные патолого-анатомические исследования 1-5 категории сложности (1 объект) (внешние медицинские услуги)</t>
  </si>
  <si>
    <t>,</t>
  </si>
  <si>
    <t xml:space="preserve">Приложение №1
</t>
  </si>
  <si>
    <t xml:space="preserve">3. Посещения в приемных отделениях стационаров при оказании МП пациентам, не нуждающимся в госпитализации </t>
  </si>
  <si>
    <t xml:space="preserve">1. Посещения с профилактическими и иными целями </t>
  </si>
  <si>
    <t>1. Посещения с профилактическими и иными целями</t>
  </si>
  <si>
    <t>1. Посещения с профилактическими  и иными целями</t>
  </si>
  <si>
    <t>в т.ч. (УЕТ)</t>
  </si>
  <si>
    <t>УЗИ диагностика</t>
  </si>
  <si>
    <t xml:space="preserve">1.7. Посещения с иными целями </t>
  </si>
  <si>
    <t xml:space="preserve">2. Обращения по поводу заболевания </t>
  </si>
  <si>
    <r>
      <t>1.7. Посещения с иными целями в консультативно-диагностических центрах (отделениях)</t>
    </r>
    <r>
      <rPr>
        <b/>
        <sz val="11"/>
        <rFont val="Times New Roman"/>
        <family val="1"/>
        <charset val="204"/>
      </rPr>
      <t>*</t>
    </r>
  </si>
  <si>
    <r>
      <t>2. Обращения по поводу заболевания в консультативно-диагностических центрах (отделениях)</t>
    </r>
    <r>
      <rPr>
        <b/>
        <sz val="11"/>
        <rFont val="Times New Roman"/>
        <family val="1"/>
        <charset val="204"/>
      </rPr>
      <t>*</t>
    </r>
  </si>
  <si>
    <r>
      <t xml:space="preserve">* - </t>
    </r>
    <r>
      <rPr>
        <sz val="11"/>
        <rFont val="Times New Roman"/>
        <family val="1"/>
        <charset val="204"/>
      </rPr>
      <t>введены с 1.06.2019</t>
    </r>
  </si>
  <si>
    <r>
      <t>Прижизненные паталого-анатомические исследования 1-5 категории сложности</t>
    </r>
    <r>
      <rPr>
        <b/>
        <sz val="11"/>
        <rFont val="Times New Roman"/>
        <family val="1"/>
        <charset val="204"/>
      </rPr>
      <t>*</t>
    </r>
  </si>
  <si>
    <t>Иммуногистохимические исследования</t>
  </si>
  <si>
    <t>1.2.1(а)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</si>
  <si>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</si>
  <si>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в т.ч. Профилактический медицинский осмотр лиц старше 18 лет, проводимый мобильными медицинскими бригадами</t>
  </si>
  <si>
    <t>к Решению Комиссии   по разработке ТП ОМС от 30.09.2019 № 8</t>
  </si>
  <si>
    <t>Гемодиализ интермитирующий продленный, сеанс лечения</t>
  </si>
  <si>
    <t>Гемодиафильтрация продленная</t>
  </si>
  <si>
    <t xml:space="preserve">Гемофильтрация крови </t>
  </si>
  <si>
    <t xml:space="preserve">25. ЧУЗ "Клиническая больница "РЖД-Медицина"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</si>
</sst>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  <numFmt numFmtId="175" formatCode="#,##0.0"/>
    <numFmt numFmtId="176" formatCode="_-* #,##0.00000_р_._-;\-* #,##0.00000_р_._-;_-* &quot;-&quot;_р_._-;_-@_-"/>
  </numFmts>
  <fonts count="4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5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7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39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0">
    <xf numFmtId="0" fontId="0" fillId="0" borderId="0" xfId="0"/>
    <xf numFmtId="0" fontId="6" fillId="0" borderId="8" xfId="0" applyFont="1" applyFill="1" applyBorder="1" applyAlignment="1">
      <alignment horizontal="left" indent="2"/>
    </xf>
    <xf numFmtId="164" fontId="6" fillId="0" borderId="8" xfId="2" applyNumberFormat="1" applyFont="1" applyFill="1" applyBorder="1"/>
    <xf numFmtId="164" fontId="6" fillId="0" borderId="13" xfId="1" applyNumberFormat="1" applyFont="1" applyFill="1" applyBorder="1"/>
    <xf numFmtId="0" fontId="14" fillId="0" borderId="8" xfId="2" applyFont="1" applyFill="1" applyBorder="1" applyAlignment="1">
      <alignment horizontal="left" indent="2"/>
    </xf>
    <xf numFmtId="164" fontId="14" fillId="0" borderId="8" xfId="2" applyNumberFormat="1" applyFont="1" applyFill="1" applyBorder="1"/>
    <xf numFmtId="0" fontId="14" fillId="0" borderId="0" xfId="2" applyFont="1" applyFill="1"/>
    <xf numFmtId="0" fontId="4" fillId="0" borderId="0" xfId="2" applyFont="1" applyFill="1"/>
    <xf numFmtId="0" fontId="20" fillId="0" borderId="1" xfId="2" applyFont="1" applyFill="1" applyBorder="1" applyAlignment="1">
      <alignment horizontal="center"/>
    </xf>
    <xf numFmtId="0" fontId="20" fillId="0" borderId="5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 vertical="top"/>
    </xf>
    <xf numFmtId="0" fontId="14" fillId="0" borderId="4" xfId="2" applyFont="1" applyFill="1" applyBorder="1" applyAlignment="1">
      <alignment horizontal="center" vertical="top"/>
    </xf>
    <xf numFmtId="0" fontId="6" fillId="0" borderId="4" xfId="2" applyFont="1" applyFill="1" applyBorder="1" applyAlignment="1">
      <alignment horizontal="center" vertical="center" wrapText="1"/>
    </xf>
    <xf numFmtId="168" fontId="6" fillId="0" borderId="13" xfId="1" applyNumberFormat="1" applyFont="1" applyFill="1" applyBorder="1"/>
    <xf numFmtId="169" fontId="14" fillId="0" borderId="8" xfId="2" applyNumberFormat="1" applyFont="1" applyFill="1" applyBorder="1"/>
    <xf numFmtId="0" fontId="15" fillId="0" borderId="8" xfId="2" applyFont="1" applyFill="1" applyBorder="1" applyAlignment="1">
      <alignment horizontal="left" wrapText="1" indent="1" shrinkToFit="1"/>
    </xf>
    <xf numFmtId="164" fontId="15" fillId="0" borderId="8" xfId="2" applyNumberFormat="1" applyFont="1" applyFill="1" applyBorder="1"/>
    <xf numFmtId="167" fontId="8" fillId="0" borderId="13" xfId="1" applyNumberFormat="1" applyFont="1" applyFill="1" applyBorder="1" applyAlignment="1">
      <alignment horizontal="center"/>
    </xf>
    <xf numFmtId="164" fontId="8" fillId="0" borderId="13" xfId="1" applyNumberFormat="1" applyFont="1" applyFill="1" applyBorder="1"/>
    <xf numFmtId="168" fontId="8" fillId="0" borderId="13" xfId="1" applyNumberFormat="1" applyFont="1" applyFill="1" applyBorder="1"/>
    <xf numFmtId="0" fontId="15" fillId="0" borderId="0" xfId="2" applyFont="1" applyFill="1"/>
    <xf numFmtId="0" fontId="10" fillId="0" borderId="8" xfId="0" applyFont="1" applyFill="1" applyBorder="1" applyAlignment="1">
      <alignment horizontal="left" indent="1"/>
    </xf>
    <xf numFmtId="164" fontId="8" fillId="0" borderId="8" xfId="2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left" wrapText="1" indent="2"/>
    </xf>
    <xf numFmtId="0" fontId="6" fillId="0" borderId="8" xfId="2" applyFont="1" applyFill="1" applyBorder="1" applyAlignment="1">
      <alignment horizontal="left" wrapText="1" indent="3"/>
    </xf>
    <xf numFmtId="0" fontId="42" fillId="0" borderId="8" xfId="0" applyFont="1" applyFill="1" applyBorder="1" applyAlignment="1">
      <alignment horizontal="left" indent="2"/>
    </xf>
    <xf numFmtId="0" fontId="41" fillId="0" borderId="8" xfId="0" applyFont="1" applyFill="1" applyBorder="1" applyAlignment="1">
      <alignment horizontal="left" indent="2"/>
    </xf>
    <xf numFmtId="0" fontId="35" fillId="0" borderId="8" xfId="2" applyFont="1" applyFill="1" applyBorder="1" applyAlignment="1">
      <alignment horizontal="left" wrapText="1" indent="1"/>
    </xf>
    <xf numFmtId="164" fontId="21" fillId="0" borderId="8" xfId="2" applyNumberFormat="1" applyFont="1" applyFill="1" applyBorder="1"/>
    <xf numFmtId="0" fontId="6" fillId="0" borderId="8" xfId="2" applyFont="1" applyFill="1" applyBorder="1" applyAlignment="1">
      <alignment horizontal="left" wrapText="1" indent="1"/>
    </xf>
    <xf numFmtId="0" fontId="14" fillId="0" borderId="9" xfId="0" applyFont="1" applyFill="1" applyBorder="1" applyAlignment="1">
      <alignment horizontal="left" wrapText="1" indent="2"/>
    </xf>
    <xf numFmtId="0" fontId="8" fillId="0" borderId="9" xfId="2" applyFont="1" applyFill="1" applyBorder="1" applyAlignment="1">
      <alignment wrapText="1"/>
    </xf>
    <xf numFmtId="0" fontId="22" fillId="0" borderId="8" xfId="2" applyFont="1" applyFill="1" applyBorder="1" applyAlignment="1">
      <alignment horizontal="left" vertical="justify" indent="2"/>
    </xf>
    <xf numFmtId="0" fontId="22" fillId="0" borderId="8" xfId="2" applyFont="1" applyFill="1" applyBorder="1" applyAlignment="1">
      <alignment horizontal="left" indent="1"/>
    </xf>
    <xf numFmtId="0" fontId="18" fillId="0" borderId="8" xfId="2" applyFont="1" applyFill="1" applyBorder="1" applyAlignment="1">
      <alignment horizontal="left" wrapText="1" indent="1"/>
    </xf>
    <xf numFmtId="164" fontId="18" fillId="0" borderId="13" xfId="1" applyNumberFormat="1" applyFont="1" applyFill="1" applyBorder="1"/>
    <xf numFmtId="0" fontId="14" fillId="0" borderId="8" xfId="2" applyFont="1" applyFill="1" applyBorder="1" applyAlignment="1">
      <alignment horizontal="left" wrapText="1" indent="2"/>
    </xf>
    <xf numFmtId="0" fontId="18" fillId="0" borderId="8" xfId="0" applyFont="1" applyFill="1" applyBorder="1" applyAlignment="1">
      <alignment horizontal="left" indent="1"/>
    </xf>
    <xf numFmtId="164" fontId="6" fillId="0" borderId="8" xfId="2" applyNumberFormat="1" applyFont="1" applyFill="1" applyBorder="1" applyAlignment="1">
      <alignment horizontal="right"/>
    </xf>
    <xf numFmtId="167" fontId="18" fillId="0" borderId="13" xfId="1" applyNumberFormat="1" applyFont="1" applyFill="1" applyBorder="1" applyAlignment="1">
      <alignment horizontal="center"/>
    </xf>
    <xf numFmtId="0" fontId="5" fillId="0" borderId="30" xfId="2" applyFont="1" applyFill="1" applyBorder="1" applyAlignment="1">
      <alignment horizontal="left" indent="2"/>
    </xf>
    <xf numFmtId="0" fontId="3" fillId="0" borderId="31" xfId="2" applyFont="1" applyFill="1" applyBorder="1" applyAlignment="1">
      <alignment horizontal="left" vertical="top" wrapText="1" indent="2"/>
    </xf>
    <xf numFmtId="168" fontId="14" fillId="0" borderId="8" xfId="1" applyNumberFormat="1" applyFont="1" applyFill="1" applyBorder="1" applyAlignment="1">
      <alignment horizontal="center"/>
    </xf>
    <xf numFmtId="0" fontId="11" fillId="0" borderId="8" xfId="2" applyFont="1" applyFill="1" applyBorder="1" applyAlignment="1">
      <alignment horizontal="left" wrapText="1" indent="1"/>
    </xf>
    <xf numFmtId="0" fontId="6" fillId="0" borderId="8" xfId="2" applyFont="1" applyFill="1" applyBorder="1" applyAlignment="1">
      <alignment horizontal="right" wrapText="1" indent="3"/>
    </xf>
    <xf numFmtId="168" fontId="6" fillId="0" borderId="8" xfId="1" applyNumberFormat="1" applyFont="1" applyFill="1" applyBorder="1" applyAlignment="1">
      <alignment horizontal="center"/>
    </xf>
    <xf numFmtId="0" fontId="8" fillId="0" borderId="0" xfId="2" applyFont="1" applyFill="1"/>
    <xf numFmtId="168" fontId="8" fillId="0" borderId="8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 vertical="top" wrapText="1" indent="2"/>
    </xf>
    <xf numFmtId="0" fontId="8" fillId="0" borderId="5" xfId="2" applyFont="1" applyFill="1" applyBorder="1" applyAlignment="1">
      <alignment horizontal="left" indent="1"/>
    </xf>
    <xf numFmtId="168" fontId="10" fillId="0" borderId="8" xfId="1" applyNumberFormat="1" applyFont="1" applyFill="1" applyBorder="1" applyAlignment="1">
      <alignment horizontal="center"/>
    </xf>
    <xf numFmtId="168" fontId="6" fillId="0" borderId="8" xfId="1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right" vertical="top" wrapText="1"/>
    </xf>
    <xf numFmtId="0" fontId="6" fillId="0" borderId="8" xfId="2" applyFont="1" applyFill="1" applyBorder="1" applyAlignment="1">
      <alignment horizontal="right" vertical="top" wrapText="1" indent="3"/>
    </xf>
    <xf numFmtId="0" fontId="8" fillId="0" borderId="8" xfId="2" applyFont="1" applyFill="1" applyBorder="1" applyAlignment="1">
      <alignment horizontal="left" indent="1"/>
    </xf>
    <xf numFmtId="0" fontId="8" fillId="0" borderId="13" xfId="2" applyFont="1" applyFill="1" applyBorder="1" applyAlignment="1">
      <alignment horizontal="right" wrapText="1" indent="3"/>
    </xf>
    <xf numFmtId="164" fontId="8" fillId="0" borderId="8" xfId="1" applyNumberFormat="1" applyFont="1" applyFill="1" applyBorder="1"/>
    <xf numFmtId="168" fontId="8" fillId="0" borderId="8" xfId="1" applyNumberFormat="1" applyFont="1" applyFill="1" applyBorder="1"/>
    <xf numFmtId="166" fontId="14" fillId="0" borderId="8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indent="2"/>
    </xf>
    <xf numFmtId="166" fontId="6" fillId="0" borderId="8" xfId="2" applyNumberFormat="1" applyFont="1" applyFill="1" applyBorder="1"/>
    <xf numFmtId="168" fontId="14" fillId="0" borderId="8" xfId="1" applyNumberFormat="1" applyFont="1" applyFill="1" applyBorder="1"/>
    <xf numFmtId="0" fontId="8" fillId="0" borderId="8" xfId="2" applyFont="1" applyFill="1" applyBorder="1" applyAlignment="1">
      <alignment wrapText="1"/>
    </xf>
    <xf numFmtId="164" fontId="8" fillId="0" borderId="8" xfId="2" applyNumberFormat="1" applyFont="1" applyFill="1" applyBorder="1"/>
    <xf numFmtId="0" fontId="6" fillId="0" borderId="0" xfId="2" applyFont="1" applyFill="1" applyBorder="1"/>
    <xf numFmtId="3" fontId="8" fillId="0" borderId="5" xfId="2" applyNumberFormat="1" applyFont="1" applyFill="1" applyBorder="1" applyAlignment="1">
      <alignment horizontal="center"/>
    </xf>
    <xf numFmtId="0" fontId="3" fillId="0" borderId="0" xfId="2" applyFont="1" applyFill="1"/>
    <xf numFmtId="0" fontId="5" fillId="0" borderId="0" xfId="2" applyFont="1" applyFill="1" applyAlignment="1">
      <alignment horizontal="center" vertical="center" wrapText="1"/>
    </xf>
    <xf numFmtId="0" fontId="8" fillId="0" borderId="0" xfId="2" applyFont="1" applyFill="1" applyBorder="1"/>
    <xf numFmtId="0" fontId="10" fillId="0" borderId="8" xfId="2" applyFont="1" applyFill="1" applyBorder="1" applyAlignment="1">
      <alignment horizontal="left" indent="1"/>
    </xf>
    <xf numFmtId="164" fontId="13" fillId="0" borderId="8" xfId="2" applyNumberFormat="1" applyFont="1" applyFill="1" applyBorder="1"/>
    <xf numFmtId="0" fontId="13" fillId="0" borderId="8" xfId="2" applyFont="1" applyFill="1" applyBorder="1" applyAlignment="1">
      <alignment horizontal="left" indent="2"/>
    </xf>
    <xf numFmtId="166" fontId="13" fillId="0" borderId="8" xfId="2" applyNumberFormat="1" applyFont="1" applyFill="1" applyBorder="1"/>
    <xf numFmtId="0" fontId="12" fillId="0" borderId="9" xfId="2" applyFont="1" applyFill="1" applyBorder="1" applyAlignment="1">
      <alignment wrapText="1"/>
    </xf>
    <xf numFmtId="168" fontId="8" fillId="0" borderId="8" xfId="1" applyNumberFormat="1" applyFont="1" applyFill="1" applyBorder="1" applyAlignment="1">
      <alignment horizontal="right"/>
    </xf>
    <xf numFmtId="3" fontId="8" fillId="0" borderId="0" xfId="2" applyNumberFormat="1" applyFont="1" applyFill="1"/>
    <xf numFmtId="168" fontId="6" fillId="0" borderId="13" xfId="1" applyNumberFormat="1" applyFont="1" applyFill="1" applyBorder="1" applyAlignment="1">
      <alignment horizontal="center"/>
    </xf>
    <xf numFmtId="166" fontId="6" fillId="0" borderId="13" xfId="2" applyNumberFormat="1" applyFont="1" applyFill="1" applyBorder="1"/>
    <xf numFmtId="0" fontId="6" fillId="0" borderId="5" xfId="2" applyFont="1" applyFill="1" applyBorder="1"/>
    <xf numFmtId="164" fontId="6" fillId="0" borderId="8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wrapText="1" indent="2"/>
    </xf>
    <xf numFmtId="164" fontId="8" fillId="0" borderId="14" xfId="2" applyNumberFormat="1" applyFont="1" applyFill="1" applyBorder="1"/>
    <xf numFmtId="164" fontId="10" fillId="0" borderId="8" xfId="2" applyNumberFormat="1" applyFont="1" applyFill="1" applyBorder="1"/>
    <xf numFmtId="0" fontId="18" fillId="0" borderId="9" xfId="0" applyFont="1" applyFill="1" applyBorder="1" applyAlignment="1">
      <alignment horizontal="left" indent="2"/>
    </xf>
    <xf numFmtId="164" fontId="18" fillId="0" borderId="8" xfId="2" applyNumberFormat="1" applyFont="1" applyFill="1" applyBorder="1"/>
    <xf numFmtId="166" fontId="18" fillId="0" borderId="8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164" fontId="8" fillId="0" borderId="5" xfId="2" applyNumberFormat="1" applyFont="1" applyFill="1" applyBorder="1"/>
    <xf numFmtId="0" fontId="8" fillId="0" borderId="14" xfId="2" applyFont="1" applyFill="1" applyBorder="1" applyAlignment="1">
      <alignment horizontal="left"/>
    </xf>
    <xf numFmtId="0" fontId="6" fillId="0" borderId="21" xfId="2" applyFont="1" applyFill="1" applyBorder="1"/>
    <xf numFmtId="164" fontId="14" fillId="0" borderId="8" xfId="3" applyNumberFormat="1" applyFont="1" applyFill="1" applyBorder="1" applyAlignment="1">
      <alignment horizontal="left"/>
    </xf>
    <xf numFmtId="164" fontId="15" fillId="0" borderId="8" xfId="3" applyNumberFormat="1" applyFont="1" applyFill="1" applyBorder="1" applyAlignment="1">
      <alignment horizontal="left"/>
    </xf>
    <xf numFmtId="173" fontId="6" fillId="0" borderId="8" xfId="2" applyNumberFormat="1" applyFont="1" applyFill="1" applyBorder="1" applyAlignment="1">
      <alignment horizontal="center"/>
    </xf>
    <xf numFmtId="168" fontId="18" fillId="0" borderId="8" xfId="1" applyNumberFormat="1" applyFont="1" applyFill="1" applyBorder="1" applyAlignment="1">
      <alignment horizontal="center"/>
    </xf>
    <xf numFmtId="164" fontId="8" fillId="0" borderId="1" xfId="2" applyNumberFormat="1" applyFont="1" applyFill="1" applyBorder="1" applyAlignment="1">
      <alignment horizontal="center"/>
    </xf>
    <xf numFmtId="0" fontId="6" fillId="0" borderId="0" xfId="2" applyFont="1" applyFill="1"/>
    <xf numFmtId="0" fontId="12" fillId="0" borderId="8" xfId="2" applyFont="1" applyFill="1" applyBorder="1" applyAlignment="1">
      <alignment horizontal="left" wrapText="1" indent="1"/>
    </xf>
    <xf numFmtId="0" fontId="18" fillId="0" borderId="5" xfId="2" applyFont="1" applyFill="1" applyBorder="1" applyAlignment="1">
      <alignment horizontal="left" indent="1"/>
    </xf>
    <xf numFmtId="164" fontId="21" fillId="0" borderId="0" xfId="2" applyNumberFormat="1" applyFont="1" applyFill="1"/>
    <xf numFmtId="168" fontId="6" fillId="0" borderId="8" xfId="1" applyNumberFormat="1" applyFont="1" applyFill="1" applyBorder="1"/>
    <xf numFmtId="0" fontId="6" fillId="0" borderId="8" xfId="2" applyFont="1" applyFill="1" applyBorder="1" applyAlignment="1">
      <alignment horizontal="center"/>
    </xf>
    <xf numFmtId="0" fontId="18" fillId="0" borderId="8" xfId="2" applyFont="1" applyFill="1" applyBorder="1" applyAlignment="1">
      <alignment horizontal="center"/>
    </xf>
    <xf numFmtId="173" fontId="18" fillId="0" borderId="8" xfId="2" applyNumberFormat="1" applyFont="1" applyFill="1" applyBorder="1" applyAlignment="1">
      <alignment horizontal="center"/>
    </xf>
    <xf numFmtId="0" fontId="6" fillId="0" borderId="0" xfId="2" applyFont="1" applyFill="1" applyAlignment="1">
      <alignment wrapText="1"/>
    </xf>
    <xf numFmtId="0" fontId="6" fillId="0" borderId="21" xfId="2" applyFont="1" applyFill="1" applyBorder="1" applyAlignment="1">
      <alignment horizontal="center"/>
    </xf>
    <xf numFmtId="169" fontId="6" fillId="0" borderId="8" xfId="2" applyNumberFormat="1" applyFont="1" applyFill="1" applyBorder="1"/>
    <xf numFmtId="0" fontId="8" fillId="0" borderId="8" xfId="2" applyFont="1" applyFill="1" applyBorder="1" applyAlignment="1">
      <alignment horizontal="left" wrapText="1" indent="1"/>
    </xf>
    <xf numFmtId="173" fontId="8" fillId="0" borderId="8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center"/>
    </xf>
    <xf numFmtId="168" fontId="6" fillId="0" borderId="0" xfId="2" applyNumberFormat="1" applyFont="1" applyFill="1" applyBorder="1"/>
    <xf numFmtId="168" fontId="8" fillId="0" borderId="0" xfId="2" applyNumberFormat="1" applyFont="1" applyFill="1"/>
    <xf numFmtId="171" fontId="6" fillId="0" borderId="8" xfId="1" applyNumberFormat="1" applyFont="1" applyFill="1" applyBorder="1"/>
    <xf numFmtId="168" fontId="18" fillId="0" borderId="9" xfId="1" applyNumberFormat="1" applyFont="1" applyFill="1" applyBorder="1" applyAlignment="1">
      <alignment horizontal="center"/>
    </xf>
    <xf numFmtId="168" fontId="8" fillId="0" borderId="9" xfId="1" applyNumberFormat="1" applyFont="1" applyFill="1" applyBorder="1" applyAlignment="1">
      <alignment horizontal="center"/>
    </xf>
    <xf numFmtId="0" fontId="3" fillId="0" borderId="24" xfId="2" applyFont="1" applyFill="1" applyBorder="1" applyAlignment="1">
      <alignment horizontal="left" vertical="top" wrapText="1" indent="2"/>
    </xf>
    <xf numFmtId="0" fontId="8" fillId="0" borderId="4" xfId="2" applyFont="1" applyFill="1" applyBorder="1" applyAlignment="1">
      <alignment horizontal="left"/>
    </xf>
    <xf numFmtId="0" fontId="6" fillId="0" borderId="17" xfId="2" applyFont="1" applyFill="1" applyBorder="1"/>
    <xf numFmtId="164" fontId="6" fillId="0" borderId="0" xfId="2" applyNumberFormat="1" applyFont="1" applyFill="1"/>
    <xf numFmtId="0" fontId="6" fillId="0" borderId="8" xfId="2" applyFont="1" applyFill="1" applyBorder="1"/>
    <xf numFmtId="168" fontId="6" fillId="0" borderId="0" xfId="2" applyNumberFormat="1" applyFont="1" applyFill="1"/>
    <xf numFmtId="168" fontId="18" fillId="0" borderId="8" xfId="1" applyNumberFormat="1" applyFont="1" applyFill="1" applyBorder="1"/>
    <xf numFmtId="0" fontId="6" fillId="0" borderId="27" xfId="2" applyFont="1" applyFill="1" applyBorder="1" applyAlignment="1">
      <alignment horizontal="left" indent="2"/>
    </xf>
    <xf numFmtId="0" fontId="8" fillId="0" borderId="8" xfId="2" applyFont="1" applyFill="1" applyBorder="1" applyAlignment="1">
      <alignment horizontal="left" indent="2"/>
    </xf>
    <xf numFmtId="0" fontId="6" fillId="0" borderId="13" xfId="2" applyFont="1" applyFill="1" applyBorder="1" applyAlignment="1">
      <alignment horizontal="left" vertical="top" wrapText="1" indent="2"/>
    </xf>
    <xf numFmtId="0" fontId="8" fillId="0" borderId="27" xfId="2" applyFont="1" applyFill="1" applyBorder="1" applyAlignment="1">
      <alignment horizontal="center"/>
    </xf>
    <xf numFmtId="0" fontId="6" fillId="0" borderId="27" xfId="2" applyFont="1" applyFill="1" applyBorder="1" applyAlignment="1">
      <alignment horizontal="center"/>
    </xf>
    <xf numFmtId="0" fontId="6" fillId="0" borderId="15" xfId="2" applyFont="1" applyFill="1" applyBorder="1" applyAlignment="1">
      <alignment horizontal="left" indent="2"/>
    </xf>
    <xf numFmtId="0" fontId="6" fillId="0" borderId="29" xfId="2" applyFont="1" applyFill="1" applyBorder="1" applyAlignment="1">
      <alignment horizontal="left" indent="2"/>
    </xf>
    <xf numFmtId="0" fontId="28" fillId="0" borderId="0" xfId="2" applyFont="1" applyFill="1"/>
    <xf numFmtId="0" fontId="3" fillId="0" borderId="0" xfId="2" applyFont="1" applyFill="1" applyAlignment="1">
      <alignment wrapText="1"/>
    </xf>
    <xf numFmtId="0" fontId="13" fillId="0" borderId="0" xfId="2" applyFont="1" applyFill="1"/>
    <xf numFmtId="0" fontId="13" fillId="0" borderId="0" xfId="2" applyFont="1" applyFill="1" applyBorder="1"/>
    <xf numFmtId="0" fontId="13" fillId="0" borderId="8" xfId="2" applyFont="1" applyFill="1" applyBorder="1" applyAlignment="1">
      <alignment horizontal="center"/>
    </xf>
    <xf numFmtId="168" fontId="13" fillId="0" borderId="8" xfId="1" applyNumberFormat="1" applyFont="1" applyFill="1" applyBorder="1"/>
    <xf numFmtId="168" fontId="13" fillId="0" borderId="8" xfId="1" applyNumberFormat="1" applyFont="1" applyFill="1" applyBorder="1" applyAlignment="1">
      <alignment horizontal="center"/>
    </xf>
    <xf numFmtId="0" fontId="12" fillId="0" borderId="0" xfId="2" applyFont="1" applyFill="1"/>
    <xf numFmtId="170" fontId="12" fillId="0" borderId="22" xfId="1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horizontal="left" vertical="top" wrapText="1" indent="3"/>
    </xf>
    <xf numFmtId="0" fontId="18" fillId="0" borderId="13" xfId="2" applyFont="1" applyFill="1" applyBorder="1" applyAlignment="1">
      <alignment horizontal="left" wrapText="1" indent="1"/>
    </xf>
    <xf numFmtId="168" fontId="6" fillId="0" borderId="22" xfId="1" applyNumberFormat="1" applyFont="1" applyFill="1" applyBorder="1" applyAlignment="1">
      <alignment horizontal="center"/>
    </xf>
    <xf numFmtId="164" fontId="8" fillId="0" borderId="8" xfId="2" applyNumberFormat="1" applyFont="1" applyFill="1" applyBorder="1" applyAlignment="1">
      <alignment horizontal="center"/>
    </xf>
    <xf numFmtId="0" fontId="6" fillId="0" borderId="13" xfId="2" applyFont="1" applyFill="1" applyBorder="1" applyAlignment="1">
      <alignment horizontal="center"/>
    </xf>
    <xf numFmtId="0" fontId="8" fillId="0" borderId="27" xfId="2" applyFont="1" applyFill="1" applyBorder="1" applyAlignment="1">
      <alignment horizontal="left" indent="2"/>
    </xf>
    <xf numFmtId="0" fontId="28" fillId="0" borderId="0" xfId="2" applyFont="1" applyFill="1" applyAlignment="1">
      <alignment wrapText="1"/>
    </xf>
    <xf numFmtId="168" fontId="6" fillId="0" borderId="21" xfId="1" applyNumberFormat="1" applyFont="1" applyFill="1" applyBorder="1" applyAlignment="1">
      <alignment horizontal="center"/>
    </xf>
    <xf numFmtId="0" fontId="11" fillId="0" borderId="8" xfId="2" applyFont="1" applyFill="1" applyBorder="1" applyAlignment="1">
      <alignment horizontal="left" indent="1"/>
    </xf>
    <xf numFmtId="0" fontId="13" fillId="0" borderId="8" xfId="2" applyFont="1" applyFill="1" applyBorder="1"/>
    <xf numFmtId="171" fontId="13" fillId="0" borderId="8" xfId="1" applyNumberFormat="1" applyFont="1" applyFill="1" applyBorder="1"/>
    <xf numFmtId="0" fontId="12" fillId="0" borderId="8" xfId="2" applyFont="1" applyFill="1" applyBorder="1" applyAlignment="1">
      <alignment horizontal="left" indent="1"/>
    </xf>
    <xf numFmtId="168" fontId="12" fillId="0" borderId="8" xfId="1" applyNumberFormat="1" applyFont="1" applyFill="1" applyBorder="1"/>
    <xf numFmtId="175" fontId="8" fillId="0" borderId="8" xfId="2" applyNumberFormat="1" applyFont="1" applyFill="1" applyBorder="1" applyAlignment="1">
      <alignment horizontal="center"/>
    </xf>
    <xf numFmtId="3" fontId="8" fillId="0" borderId="8" xfId="2" applyNumberFormat="1" applyFont="1" applyFill="1" applyBorder="1" applyAlignment="1">
      <alignment horizontal="center"/>
    </xf>
    <xf numFmtId="168" fontId="6" fillId="0" borderId="0" xfId="1" applyNumberFormat="1" applyFont="1" applyFill="1"/>
    <xf numFmtId="175" fontId="8" fillId="0" borderId="22" xfId="2" applyNumberFormat="1" applyFont="1" applyFill="1" applyBorder="1" applyAlignment="1">
      <alignment horizontal="center"/>
    </xf>
    <xf numFmtId="3" fontId="8" fillId="0" borderId="22" xfId="2" applyNumberFormat="1" applyFont="1" applyFill="1" applyBorder="1" applyAlignment="1">
      <alignment horizontal="center"/>
    </xf>
    <xf numFmtId="168" fontId="8" fillId="0" borderId="22" xfId="1" applyNumberFormat="1" applyFont="1" applyFill="1" applyBorder="1" applyAlignment="1">
      <alignment horizontal="center"/>
    </xf>
    <xf numFmtId="164" fontId="13" fillId="0" borderId="0" xfId="2" applyNumberFormat="1" applyFont="1" applyFill="1"/>
    <xf numFmtId="168" fontId="13" fillId="0" borderId="0" xfId="2" applyNumberFormat="1" applyFont="1" applyFill="1"/>
    <xf numFmtId="164" fontId="12" fillId="0" borderId="0" xfId="2" applyNumberFormat="1" applyFont="1" applyFill="1"/>
    <xf numFmtId="164" fontId="13" fillId="0" borderId="8" xfId="2" applyNumberFormat="1" applyFont="1" applyFill="1" applyBorder="1" applyAlignment="1">
      <alignment horizontal="center"/>
    </xf>
    <xf numFmtId="169" fontId="6" fillId="0" borderId="8" xfId="2" applyNumberFormat="1" applyFont="1" applyFill="1" applyBorder="1" applyAlignment="1">
      <alignment horizontal="center"/>
    </xf>
    <xf numFmtId="164" fontId="18" fillId="0" borderId="8" xfId="2" applyNumberFormat="1" applyFont="1" applyFill="1" applyBorder="1" applyAlignment="1">
      <alignment horizontal="center"/>
    </xf>
    <xf numFmtId="168" fontId="13" fillId="0" borderId="8" xfId="1" applyNumberFormat="1" applyFont="1" applyFill="1" applyBorder="1" applyAlignment="1">
      <alignment horizontal="right"/>
    </xf>
    <xf numFmtId="169" fontId="13" fillId="0" borderId="8" xfId="2" applyNumberFormat="1" applyFont="1" applyFill="1" applyBorder="1" applyAlignment="1">
      <alignment horizontal="center"/>
    </xf>
    <xf numFmtId="168" fontId="18" fillId="0" borderId="8" xfId="1" applyNumberFormat="1" applyFont="1" applyFill="1" applyBorder="1" applyAlignment="1">
      <alignment horizontal="right"/>
    </xf>
    <xf numFmtId="169" fontId="18" fillId="0" borderId="8" xfId="2" applyNumberFormat="1" applyFont="1" applyFill="1" applyBorder="1" applyAlignment="1">
      <alignment horizontal="center"/>
    </xf>
    <xf numFmtId="3" fontId="8" fillId="0" borderId="27" xfId="2" applyNumberFormat="1" applyFont="1" applyFill="1" applyBorder="1" applyAlignment="1">
      <alignment horizontal="left" indent="2"/>
    </xf>
    <xf numFmtId="3" fontId="6" fillId="0" borderId="27" xfId="2" applyNumberFormat="1" applyFont="1" applyFill="1" applyBorder="1" applyAlignment="1">
      <alignment horizontal="left" indent="2"/>
    </xf>
    <xf numFmtId="0" fontId="12" fillId="0" borderId="18" xfId="2" applyFont="1" applyFill="1" applyBorder="1" applyAlignment="1">
      <alignment horizontal="left"/>
    </xf>
    <xf numFmtId="168" fontId="12" fillId="0" borderId="18" xfId="1" applyNumberFormat="1" applyFont="1" applyFill="1" applyBorder="1"/>
    <xf numFmtId="0" fontId="13" fillId="0" borderId="20" xfId="2" applyFont="1" applyFill="1" applyBorder="1"/>
    <xf numFmtId="171" fontId="14" fillId="0" borderId="8" xfId="1" applyNumberFormat="1" applyFont="1" applyFill="1" applyBorder="1"/>
    <xf numFmtId="164" fontId="12" fillId="0" borderId="8" xfId="2" applyNumberFormat="1" applyFont="1" applyFill="1" applyBorder="1"/>
    <xf numFmtId="167" fontId="18" fillId="0" borderId="8" xfId="1" applyNumberFormat="1" applyFont="1" applyFill="1" applyBorder="1" applyAlignment="1">
      <alignment horizontal="center"/>
    </xf>
    <xf numFmtId="0" fontId="19" fillId="0" borderId="1" xfId="2" applyFont="1" applyFill="1" applyBorder="1" applyAlignment="1">
      <alignment wrapText="1"/>
    </xf>
    <xf numFmtId="0" fontId="34" fillId="0" borderId="8" xfId="2" applyFont="1" applyFill="1" applyBorder="1" applyAlignment="1">
      <alignment horizontal="left" indent="2"/>
    </xf>
    <xf numFmtId="175" fontId="6" fillId="0" borderId="8" xfId="2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indent="1"/>
    </xf>
    <xf numFmtId="175" fontId="10" fillId="0" borderId="8" xfId="2" applyNumberFormat="1" applyFont="1" applyFill="1" applyBorder="1" applyAlignment="1">
      <alignment horizontal="center"/>
    </xf>
    <xf numFmtId="164" fontId="16" fillId="0" borderId="8" xfId="3" applyNumberFormat="1" applyFont="1" applyFill="1" applyBorder="1" applyAlignment="1">
      <alignment horizontal="left"/>
    </xf>
    <xf numFmtId="0" fontId="10" fillId="0" borderId="8" xfId="0" applyFont="1" applyFill="1" applyBorder="1" applyAlignment="1">
      <alignment horizontal="left" indent="2"/>
    </xf>
    <xf numFmtId="0" fontId="17" fillId="0" borderId="8" xfId="2" applyFont="1" applyFill="1" applyBorder="1" applyAlignment="1">
      <alignment horizontal="left" wrapText="1" indent="2"/>
    </xf>
    <xf numFmtId="0" fontId="15" fillId="0" borderId="8" xfId="2" applyFont="1" applyFill="1" applyBorder="1" applyAlignment="1">
      <alignment horizontal="left" vertical="justify" indent="2"/>
    </xf>
    <xf numFmtId="0" fontId="25" fillId="0" borderId="8" xfId="2" applyFont="1" applyFill="1" applyBorder="1" applyAlignment="1">
      <alignment horizontal="left" wrapText="1" indent="2"/>
    </xf>
    <xf numFmtId="164" fontId="25" fillId="0" borderId="9" xfId="3" applyNumberFormat="1" applyFont="1" applyFill="1" applyBorder="1" applyAlignment="1">
      <alignment horizontal="left"/>
    </xf>
    <xf numFmtId="0" fontId="35" fillId="0" borderId="30" xfId="2" applyFont="1" applyFill="1" applyBorder="1" applyAlignment="1">
      <alignment horizontal="left" indent="2"/>
    </xf>
    <xf numFmtId="167" fontId="6" fillId="0" borderId="22" xfId="1" applyNumberFormat="1" applyFont="1" applyFill="1" applyBorder="1" applyAlignment="1">
      <alignment horizontal="center"/>
    </xf>
    <xf numFmtId="0" fontId="3" fillId="0" borderId="34" xfId="2" applyFont="1" applyFill="1" applyBorder="1" applyAlignment="1">
      <alignment horizontal="left" indent="2"/>
    </xf>
    <xf numFmtId="164" fontId="14" fillId="0" borderId="15" xfId="3" applyNumberFormat="1" applyFont="1" applyFill="1" applyBorder="1" applyAlignment="1">
      <alignment horizontal="left"/>
    </xf>
    <xf numFmtId="164" fontId="10" fillId="0" borderId="8" xfId="2" applyNumberFormat="1" applyFont="1" applyFill="1" applyBorder="1" applyAlignment="1">
      <alignment horizontal="right"/>
    </xf>
    <xf numFmtId="0" fontId="8" fillId="0" borderId="13" xfId="2" applyFont="1" applyFill="1" applyBorder="1" applyAlignment="1">
      <alignment horizontal="left" indent="2"/>
    </xf>
    <xf numFmtId="0" fontId="8" fillId="0" borderId="13" xfId="2" applyFont="1" applyFill="1" applyBorder="1" applyAlignment="1">
      <alignment vertical="top" wrapText="1"/>
    </xf>
    <xf numFmtId="0" fontId="24" fillId="0" borderId="8" xfId="2" applyFont="1" applyFill="1" applyBorder="1" applyAlignment="1">
      <alignment horizontal="left" wrapText="1" indent="2"/>
    </xf>
    <xf numFmtId="0" fontId="33" fillId="0" borderId="8" xfId="2" applyFont="1" applyFill="1" applyBorder="1" applyAlignment="1">
      <alignment horizontal="left" indent="2"/>
    </xf>
    <xf numFmtId="0" fontId="6" fillId="0" borderId="13" xfId="2" applyFont="1" applyFill="1" applyBorder="1" applyAlignment="1">
      <alignment horizontal="left" indent="2"/>
    </xf>
    <xf numFmtId="170" fontId="8" fillId="0" borderId="8" xfId="1" applyNumberFormat="1" applyFont="1" applyFill="1" applyBorder="1" applyAlignment="1">
      <alignment horizontal="center"/>
    </xf>
    <xf numFmtId="164" fontId="8" fillId="0" borderId="4" xfId="2" applyNumberFormat="1" applyFont="1" applyFill="1" applyBorder="1"/>
    <xf numFmtId="0" fontId="8" fillId="0" borderId="13" xfId="2" applyFont="1" applyFill="1" applyBorder="1" applyAlignment="1">
      <alignment horizontal="left" wrapText="1" indent="3"/>
    </xf>
    <xf numFmtId="168" fontId="8" fillId="0" borderId="14" xfId="1" applyNumberFormat="1" applyFont="1" applyFill="1" applyBorder="1"/>
    <xf numFmtId="0" fontId="6" fillId="0" borderId="9" xfId="2" applyFont="1" applyFill="1" applyBorder="1" applyAlignment="1">
      <alignment horizontal="left" indent="2"/>
    </xf>
    <xf numFmtId="0" fontId="6" fillId="0" borderId="38" xfId="2" applyFont="1" applyFill="1" applyBorder="1" applyAlignment="1">
      <alignment horizontal="left" indent="2"/>
    </xf>
    <xf numFmtId="0" fontId="13" fillId="0" borderId="21" xfId="2" applyFont="1" applyFill="1" applyBorder="1"/>
    <xf numFmtId="164" fontId="10" fillId="0" borderId="13" xfId="1" applyNumberFormat="1" applyFont="1" applyFill="1" applyBorder="1"/>
    <xf numFmtId="164" fontId="15" fillId="0" borderId="1" xfId="2" applyNumberFormat="1" applyFont="1" applyFill="1" applyBorder="1"/>
    <xf numFmtId="3" fontId="14" fillId="0" borderId="1" xfId="1" applyNumberFormat="1" applyFont="1" applyFill="1" applyBorder="1" applyAlignment="1">
      <alignment horizontal="right"/>
    </xf>
    <xf numFmtId="168" fontId="14" fillId="0" borderId="1" xfId="1" applyNumberFormat="1" applyFont="1" applyFill="1" applyBorder="1" applyAlignment="1">
      <alignment horizontal="center"/>
    </xf>
    <xf numFmtId="0" fontId="10" fillId="0" borderId="13" xfId="0" applyFont="1" applyFill="1" applyBorder="1" applyAlignment="1">
      <alignment horizontal="left" indent="1"/>
    </xf>
    <xf numFmtId="164" fontId="8" fillId="0" borderId="13" xfId="2" applyNumberFormat="1" applyFont="1" applyFill="1" applyBorder="1" applyAlignment="1">
      <alignment horizontal="right"/>
    </xf>
    <xf numFmtId="3" fontId="6" fillId="0" borderId="13" xfId="1" applyNumberFormat="1" applyFont="1" applyFill="1" applyBorder="1" applyAlignment="1">
      <alignment horizontal="right"/>
    </xf>
    <xf numFmtId="168" fontId="14" fillId="0" borderId="13" xfId="1" applyNumberFormat="1" applyFont="1" applyFill="1" applyBorder="1" applyAlignment="1">
      <alignment horizontal="center"/>
    </xf>
    <xf numFmtId="0" fontId="41" fillId="0" borderId="8" xfId="0" applyFont="1" applyFill="1" applyBorder="1" applyAlignment="1">
      <alignment horizontal="left" wrapText="1" indent="2"/>
    </xf>
    <xf numFmtId="3" fontId="45" fillId="0" borderId="8" xfId="2" applyNumberFormat="1" applyFont="1" applyFill="1" applyBorder="1" applyAlignment="1">
      <alignment horizontal="right"/>
    </xf>
    <xf numFmtId="0" fontId="8" fillId="0" borderId="5" xfId="2" applyFont="1" applyFill="1" applyBorder="1" applyAlignment="1">
      <alignment horizontal="right" wrapText="1" indent="3"/>
    </xf>
    <xf numFmtId="3" fontId="8" fillId="0" borderId="13" xfId="1" applyNumberFormat="1" applyFont="1" applyFill="1" applyBorder="1" applyAlignment="1">
      <alignment horizontal="right"/>
    </xf>
    <xf numFmtId="164" fontId="8" fillId="0" borderId="5" xfId="2" applyNumberFormat="1" applyFont="1" applyFill="1" applyBorder="1" applyAlignment="1">
      <alignment horizontal="right"/>
    </xf>
    <xf numFmtId="3" fontId="8" fillId="0" borderId="8" xfId="1" applyNumberFormat="1" applyFont="1" applyFill="1" applyBorder="1" applyAlignment="1">
      <alignment horizontal="right"/>
    </xf>
    <xf numFmtId="168" fontId="14" fillId="0" borderId="5" xfId="1" applyNumberFormat="1" applyFont="1" applyFill="1" applyBorder="1" applyAlignment="1">
      <alignment horizontal="center"/>
    </xf>
    <xf numFmtId="3" fontId="21" fillId="0" borderId="8" xfId="2" applyNumberFormat="1" applyFont="1" applyFill="1" applyBorder="1" applyAlignment="1">
      <alignment horizontal="right"/>
    </xf>
    <xf numFmtId="169" fontId="21" fillId="0" borderId="8" xfId="2" applyNumberFormat="1" applyFont="1" applyFill="1" applyBorder="1"/>
    <xf numFmtId="0" fontId="26" fillId="0" borderId="8" xfId="2" applyFont="1" applyFill="1" applyBorder="1" applyAlignment="1">
      <alignment horizontal="left" wrapText="1" indent="1"/>
    </xf>
    <xf numFmtId="3" fontId="25" fillId="0" borderId="8" xfId="1" applyNumberFormat="1" applyFont="1" applyFill="1" applyBorder="1" applyAlignment="1">
      <alignment horizontal="right"/>
    </xf>
    <xf numFmtId="168" fontId="25" fillId="0" borderId="8" xfId="1" applyNumberFormat="1" applyFont="1" applyFill="1" applyBorder="1" applyAlignment="1">
      <alignment horizontal="center"/>
    </xf>
    <xf numFmtId="164" fontId="21" fillId="0" borderId="9" xfId="2" applyNumberFormat="1" applyFont="1" applyFill="1" applyBorder="1"/>
    <xf numFmtId="3" fontId="17" fillId="0" borderId="9" xfId="1" applyNumberFormat="1" applyFont="1" applyFill="1" applyBorder="1" applyAlignment="1">
      <alignment horizontal="right"/>
    </xf>
    <xf numFmtId="167" fontId="5" fillId="0" borderId="5" xfId="1" applyNumberFormat="1" applyFont="1" applyFill="1" applyBorder="1" applyAlignment="1">
      <alignment horizontal="center"/>
    </xf>
    <xf numFmtId="168" fontId="17" fillId="0" borderId="9" xfId="1" applyNumberFormat="1" applyFont="1" applyFill="1" applyBorder="1" applyAlignment="1">
      <alignment horizontal="center"/>
    </xf>
    <xf numFmtId="164" fontId="21" fillId="0" borderId="8" xfId="2" applyNumberFormat="1" applyFont="1" applyFill="1" applyBorder="1" applyAlignment="1">
      <alignment horizontal="right"/>
    </xf>
    <xf numFmtId="166" fontId="14" fillId="0" borderId="8" xfId="6" applyNumberFormat="1" applyFont="1" applyFill="1" applyBorder="1"/>
    <xf numFmtId="164" fontId="24" fillId="0" borderId="8" xfId="2" applyNumberFormat="1" applyFont="1" applyFill="1" applyBorder="1" applyAlignment="1">
      <alignment horizontal="right"/>
    </xf>
    <xf numFmtId="166" fontId="17" fillId="0" borderId="8" xfId="6" applyNumberFormat="1" applyFont="1" applyFill="1" applyBorder="1"/>
    <xf numFmtId="166" fontId="21" fillId="0" borderId="8" xfId="6" applyNumberFormat="1" applyFont="1" applyFill="1" applyBorder="1"/>
    <xf numFmtId="164" fontId="14" fillId="0" borderId="8" xfId="6" applyNumberFormat="1" applyFont="1" applyFill="1" applyBorder="1"/>
    <xf numFmtId="0" fontId="3" fillId="0" borderId="0" xfId="2" applyFont="1" applyFill="1" applyBorder="1"/>
    <xf numFmtId="0" fontId="3" fillId="0" borderId="0" xfId="2" applyFont="1" applyFill="1" applyBorder="1" applyAlignment="1">
      <alignment wrapText="1"/>
    </xf>
    <xf numFmtId="49" fontId="3" fillId="0" borderId="0" xfId="2" applyNumberFormat="1" applyFont="1" applyFill="1" applyBorder="1"/>
    <xf numFmtId="49" fontId="6" fillId="0" borderId="0" xfId="2" applyNumberFormat="1" applyFont="1" applyFill="1" applyBorder="1"/>
    <xf numFmtId="0" fontId="14" fillId="0" borderId="35" xfId="2" applyFont="1" applyFill="1" applyBorder="1" applyAlignment="1">
      <alignment wrapText="1"/>
    </xf>
    <xf numFmtId="0" fontId="14" fillId="0" borderId="0" xfId="2" applyFont="1" applyFill="1" applyBorder="1" applyAlignment="1">
      <alignment wrapText="1"/>
    </xf>
    <xf numFmtId="1" fontId="6" fillId="0" borderId="4" xfId="2" applyNumberFormat="1" applyFont="1" applyFill="1" applyBorder="1" applyAlignment="1">
      <alignment horizontal="center"/>
    </xf>
    <xf numFmtId="49" fontId="14" fillId="0" borderId="0" xfId="2" applyNumberFormat="1" applyFont="1" applyFill="1"/>
    <xf numFmtId="164" fontId="6" fillId="0" borderId="21" xfId="2" applyNumberFormat="1" applyFont="1" applyFill="1" applyBorder="1"/>
    <xf numFmtId="49" fontId="8" fillId="0" borderId="0" xfId="2" applyNumberFormat="1" applyFont="1" applyFill="1" applyBorder="1"/>
    <xf numFmtId="0" fontId="8" fillId="0" borderId="8" xfId="2" applyFont="1" applyFill="1" applyBorder="1"/>
    <xf numFmtId="164" fontId="6" fillId="0" borderId="13" xfId="2" applyNumberFormat="1" applyFont="1" applyFill="1" applyBorder="1"/>
    <xf numFmtId="164" fontId="16" fillId="0" borderId="8" xfId="2" applyNumberFormat="1" applyFont="1" applyFill="1" applyBorder="1"/>
    <xf numFmtId="168" fontId="16" fillId="0" borderId="13" xfId="1" applyNumberFormat="1" applyFont="1" applyFill="1" applyBorder="1" applyAlignment="1">
      <alignment horizontal="center"/>
    </xf>
    <xf numFmtId="173" fontId="23" fillId="0" borderId="13" xfId="1" applyNumberFormat="1" applyFont="1" applyFill="1" applyBorder="1" applyAlignment="1">
      <alignment horizontal="center"/>
    </xf>
    <xf numFmtId="168" fontId="21" fillId="0" borderId="13" xfId="1" applyNumberFormat="1" applyFont="1" applyFill="1" applyBorder="1" applyAlignment="1">
      <alignment horizontal="center"/>
    </xf>
    <xf numFmtId="168" fontId="17" fillId="0" borderId="13" xfId="1" applyNumberFormat="1" applyFont="1" applyFill="1" applyBorder="1" applyAlignment="1">
      <alignment horizontal="center"/>
    </xf>
    <xf numFmtId="164" fontId="13" fillId="0" borderId="13" xfId="1" applyNumberFormat="1" applyFont="1" applyFill="1" applyBorder="1"/>
    <xf numFmtId="0" fontId="12" fillId="0" borderId="8" xfId="0" applyFont="1" applyFill="1" applyBorder="1" applyAlignment="1">
      <alignment horizontal="left" indent="1"/>
    </xf>
    <xf numFmtId="164" fontId="12" fillId="0" borderId="13" xfId="1" applyNumberFormat="1" applyFont="1" applyFill="1" applyBorder="1"/>
    <xf numFmtId="0" fontId="13" fillId="0" borderId="10" xfId="2" applyFont="1" applyFill="1" applyBorder="1"/>
    <xf numFmtId="0" fontId="8" fillId="0" borderId="18" xfId="2" applyFont="1" applyFill="1" applyBorder="1" applyAlignment="1">
      <alignment horizontal="left"/>
    </xf>
    <xf numFmtId="164" fontId="8" fillId="0" borderId="18" xfId="2" applyNumberFormat="1" applyFont="1" applyFill="1" applyBorder="1"/>
    <xf numFmtId="164" fontId="8" fillId="0" borderId="18" xfId="2" applyNumberFormat="1" applyFont="1" applyFill="1" applyBorder="1" applyAlignment="1">
      <alignment horizontal="right"/>
    </xf>
    <xf numFmtId="0" fontId="8" fillId="0" borderId="1" xfId="2" applyFont="1" applyFill="1" applyBorder="1" applyAlignment="1">
      <alignment horizontal="left"/>
    </xf>
    <xf numFmtId="164" fontId="8" fillId="0" borderId="1" xfId="2" applyNumberFormat="1" applyFont="1" applyFill="1" applyBorder="1"/>
    <xf numFmtId="164" fontId="6" fillId="0" borderId="21" xfId="1" applyNumberFormat="1" applyFont="1" applyFill="1" applyBorder="1"/>
    <xf numFmtId="164" fontId="31" fillId="0" borderId="13" xfId="1" applyNumberFormat="1" applyFont="1" applyFill="1" applyBorder="1"/>
    <xf numFmtId="3" fontId="6" fillId="0" borderId="0" xfId="2" applyNumberFormat="1" applyFont="1" applyFill="1" applyBorder="1"/>
    <xf numFmtId="49" fontId="8" fillId="0" borderId="0" xfId="2" applyNumberFormat="1" applyFont="1" applyFill="1"/>
    <xf numFmtId="164" fontId="15" fillId="0" borderId="13" xfId="6" applyNumberFormat="1" applyFont="1" applyFill="1" applyBorder="1"/>
    <xf numFmtId="164" fontId="6" fillId="0" borderId="0" xfId="2" applyNumberFormat="1" applyFont="1" applyFill="1" applyBorder="1"/>
    <xf numFmtId="0" fontId="8" fillId="0" borderId="8" xfId="0" applyFont="1" applyFill="1" applyBorder="1" applyAlignment="1">
      <alignment horizontal="left" indent="1"/>
    </xf>
    <xf numFmtId="0" fontId="17" fillId="0" borderId="9" xfId="0" applyFont="1" applyFill="1" applyBorder="1" applyAlignment="1">
      <alignment horizontal="left" wrapText="1" indent="2"/>
    </xf>
    <xf numFmtId="164" fontId="8" fillId="0" borderId="13" xfId="2" applyNumberFormat="1" applyFont="1" applyFill="1" applyBorder="1"/>
    <xf numFmtId="0" fontId="6" fillId="0" borderId="12" xfId="2" applyFont="1" applyFill="1" applyBorder="1"/>
    <xf numFmtId="164" fontId="8" fillId="0" borderId="23" xfId="1" applyNumberFormat="1" applyFont="1" applyFill="1" applyBorder="1"/>
    <xf numFmtId="167" fontId="8" fillId="0" borderId="23" xfId="1" applyNumberFormat="1" applyFont="1" applyFill="1" applyBorder="1" applyAlignment="1">
      <alignment horizontal="center"/>
    </xf>
    <xf numFmtId="0" fontId="8" fillId="0" borderId="18" xfId="2" applyFont="1" applyFill="1" applyBorder="1"/>
    <xf numFmtId="164" fontId="6" fillId="0" borderId="18" xfId="2" applyNumberFormat="1" applyFont="1" applyFill="1" applyBorder="1"/>
    <xf numFmtId="164" fontId="8" fillId="0" borderId="28" xfId="2" applyNumberFormat="1" applyFont="1" applyFill="1" applyBorder="1" applyAlignment="1">
      <alignment horizontal="right"/>
    </xf>
    <xf numFmtId="164" fontId="6" fillId="0" borderId="5" xfId="2" applyNumberFormat="1" applyFont="1" applyFill="1" applyBorder="1"/>
    <xf numFmtId="164" fontId="6" fillId="0" borderId="8" xfId="1" applyNumberFormat="1" applyFont="1" applyFill="1" applyBorder="1"/>
    <xf numFmtId="49" fontId="15" fillId="0" borderId="0" xfId="2" applyNumberFormat="1" applyFont="1" applyFill="1"/>
    <xf numFmtId="168" fontId="23" fillId="0" borderId="13" xfId="1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wrapText="1"/>
    </xf>
    <xf numFmtId="0" fontId="8" fillId="0" borderId="21" xfId="2" applyFont="1" applyFill="1" applyBorder="1" applyAlignment="1"/>
    <xf numFmtId="0" fontId="42" fillId="0" borderId="13" xfId="0" applyFont="1" applyFill="1" applyBorder="1" applyAlignment="1">
      <alignment horizontal="left" indent="2"/>
    </xf>
    <xf numFmtId="168" fontId="6" fillId="0" borderId="13" xfId="1" applyNumberFormat="1" applyFont="1" applyFill="1" applyBorder="1" applyAlignment="1">
      <alignment horizontal="right"/>
    </xf>
    <xf numFmtId="0" fontId="45" fillId="0" borderId="13" xfId="0" applyFont="1" applyFill="1" applyBorder="1" applyAlignment="1">
      <alignment horizontal="left" indent="2"/>
    </xf>
    <xf numFmtId="0" fontId="6" fillId="0" borderId="9" xfId="0" applyFont="1" applyFill="1" applyBorder="1" applyAlignment="1">
      <alignment horizontal="left" indent="2"/>
    </xf>
    <xf numFmtId="0" fontId="8" fillId="0" borderId="18" xfId="0" applyFont="1" applyFill="1" applyBorder="1" applyAlignment="1">
      <alignment horizontal="left"/>
    </xf>
    <xf numFmtId="0" fontId="8" fillId="0" borderId="8" xfId="2" applyFont="1" applyFill="1" applyBorder="1" applyAlignment="1">
      <alignment horizontal="left"/>
    </xf>
    <xf numFmtId="164" fontId="6" fillId="0" borderId="9" xfId="2" applyNumberFormat="1" applyFont="1" applyFill="1" applyBorder="1"/>
    <xf numFmtId="0" fontId="6" fillId="0" borderId="10" xfId="2" applyFont="1" applyFill="1" applyBorder="1"/>
    <xf numFmtId="0" fontId="8" fillId="0" borderId="14" xfId="2" applyFont="1" applyFill="1" applyBorder="1"/>
    <xf numFmtId="164" fontId="8" fillId="0" borderId="14" xfId="2" applyNumberFormat="1" applyFont="1" applyFill="1" applyBorder="1" applyAlignment="1">
      <alignment horizontal="right"/>
    </xf>
    <xf numFmtId="49" fontId="12" fillId="0" borderId="0" xfId="2" applyNumberFormat="1" applyFont="1" applyFill="1" applyBorder="1"/>
    <xf numFmtId="0" fontId="12" fillId="0" borderId="0" xfId="2" applyFont="1" applyFill="1" applyBorder="1"/>
    <xf numFmtId="0" fontId="6" fillId="0" borderId="1" xfId="2" applyFont="1" applyFill="1" applyBorder="1"/>
    <xf numFmtId="164" fontId="6" fillId="0" borderId="1" xfId="2" applyNumberFormat="1" applyFont="1" applyFill="1" applyBorder="1"/>
    <xf numFmtId="169" fontId="21" fillId="0" borderId="13" xfId="2" applyNumberFormat="1" applyFont="1" applyFill="1" applyBorder="1" applyAlignment="1">
      <alignment horizontal="center"/>
    </xf>
    <xf numFmtId="164" fontId="8" fillId="0" borderId="5" xfId="1" applyNumberFormat="1" applyFont="1" applyFill="1" applyBorder="1"/>
    <xf numFmtId="0" fontId="44" fillId="0" borderId="8" xfId="0" applyFont="1" applyFill="1" applyBorder="1" applyAlignment="1">
      <alignment horizontal="left" wrapText="1" indent="2"/>
    </xf>
    <xf numFmtId="0" fontId="43" fillId="0" borderId="9" xfId="0" applyFont="1" applyFill="1" applyBorder="1" applyAlignment="1">
      <alignment horizontal="left" wrapText="1" indent="2"/>
    </xf>
    <xf numFmtId="0" fontId="6" fillId="0" borderId="13" xfId="2" applyFont="1" applyFill="1" applyBorder="1" applyAlignment="1">
      <alignment horizontal="left" wrapText="1" indent="3"/>
    </xf>
    <xf numFmtId="0" fontId="8" fillId="0" borderId="10" xfId="2" applyFont="1" applyFill="1" applyBorder="1" applyAlignment="1">
      <alignment wrapText="1"/>
    </xf>
    <xf numFmtId="0" fontId="45" fillId="0" borderId="8" xfId="0" applyFont="1" applyFill="1" applyBorder="1" applyAlignment="1">
      <alignment horizontal="left" wrapText="1" indent="2"/>
    </xf>
    <xf numFmtId="164" fontId="36" fillId="0" borderId="13" xfId="1" applyNumberFormat="1" applyFont="1" applyFill="1" applyBorder="1"/>
    <xf numFmtId="2" fontId="8" fillId="0" borderId="0" xfId="2" applyNumberFormat="1" applyFont="1" applyFill="1"/>
    <xf numFmtId="164" fontId="31" fillId="0" borderId="13" xfId="1" applyNumberFormat="1" applyFont="1" applyFill="1" applyBorder="1" applyAlignment="1"/>
    <xf numFmtId="166" fontId="8" fillId="0" borderId="8" xfId="2" applyNumberFormat="1" applyFont="1" applyFill="1" applyBorder="1"/>
    <xf numFmtId="0" fontId="8" fillId="0" borderId="14" xfId="2" applyFont="1" applyFill="1" applyBorder="1" applyAlignment="1">
      <alignment horizontal="left" wrapText="1"/>
    </xf>
    <xf numFmtId="164" fontId="7" fillId="0" borderId="13" xfId="1" applyNumberFormat="1" applyFont="1" applyFill="1" applyBorder="1"/>
    <xf numFmtId="0" fontId="6" fillId="0" borderId="9" xfId="2" applyFont="1" applyFill="1" applyBorder="1" applyAlignment="1">
      <alignment horizontal="left" wrapText="1" indent="1"/>
    </xf>
    <xf numFmtId="164" fontId="6" fillId="0" borderId="13" xfId="1" applyNumberFormat="1" applyFont="1" applyFill="1" applyBorder="1" applyAlignment="1"/>
    <xf numFmtId="0" fontId="8" fillId="0" borderId="1" xfId="2" applyFont="1" applyFill="1" applyBorder="1" applyAlignment="1">
      <alignment horizontal="left" indent="2"/>
    </xf>
    <xf numFmtId="0" fontId="41" fillId="0" borderId="8" xfId="0" applyFont="1" applyFill="1" applyBorder="1" applyAlignment="1">
      <alignment horizontal="right" wrapText="1" indent="2"/>
    </xf>
    <xf numFmtId="0" fontId="6" fillId="0" borderId="1" xfId="2" applyFont="1" applyFill="1" applyBorder="1" applyAlignment="1">
      <alignment wrapText="1"/>
    </xf>
    <xf numFmtId="164" fontId="6" fillId="0" borderId="18" xfId="1" applyNumberFormat="1" applyFont="1" applyFill="1" applyBorder="1"/>
    <xf numFmtId="0" fontId="8" fillId="0" borderId="5" xfId="2" applyFont="1" applyFill="1" applyBorder="1"/>
    <xf numFmtId="164" fontId="6" fillId="0" borderId="14" xfId="1" applyNumberFormat="1" applyFont="1" applyFill="1" applyBorder="1"/>
    <xf numFmtId="0" fontId="13" fillId="0" borderId="9" xfId="2" applyFont="1" applyFill="1" applyBorder="1" applyAlignment="1">
      <alignment horizontal="left" wrapText="1" indent="1"/>
    </xf>
    <xf numFmtId="164" fontId="8" fillId="0" borderId="18" xfId="1" applyNumberFormat="1" applyFont="1" applyFill="1" applyBorder="1"/>
    <xf numFmtId="0" fontId="8" fillId="0" borderId="18" xfId="2" applyFont="1" applyFill="1" applyBorder="1" applyAlignment="1">
      <alignment horizontal="left" indent="2"/>
    </xf>
    <xf numFmtId="0" fontId="15" fillId="0" borderId="1" xfId="2" applyFont="1" applyFill="1" applyBorder="1" applyAlignment="1">
      <alignment wrapText="1"/>
    </xf>
    <xf numFmtId="164" fontId="6" fillId="0" borderId="13" xfId="1" applyNumberFormat="1" applyFont="1" applyFill="1" applyBorder="1" applyAlignment="1">
      <alignment horizontal="left" indent="1"/>
    </xf>
    <xf numFmtId="166" fontId="14" fillId="0" borderId="8" xfId="2" applyNumberFormat="1" applyFont="1" applyFill="1" applyBorder="1" applyAlignment="1">
      <alignment horizontal="left" indent="1"/>
    </xf>
    <xf numFmtId="0" fontId="14" fillId="0" borderId="8" xfId="2" applyFont="1" applyFill="1" applyBorder="1" applyAlignment="1">
      <alignment horizontal="left" vertical="justify" indent="2"/>
    </xf>
    <xf numFmtId="0" fontId="21" fillId="0" borderId="8" xfId="2" applyFont="1" applyFill="1" applyBorder="1" applyAlignment="1">
      <alignment horizontal="left" indent="2"/>
    </xf>
    <xf numFmtId="0" fontId="15" fillId="0" borderId="8" xfId="2" applyFont="1" applyFill="1" applyBorder="1" applyAlignment="1">
      <alignment horizontal="left" indent="1"/>
    </xf>
    <xf numFmtId="164" fontId="42" fillId="0" borderId="13" xfId="2" applyNumberFormat="1" applyFont="1" applyFill="1" applyBorder="1"/>
    <xf numFmtId="0" fontId="6" fillId="0" borderId="9" xfId="2" applyFont="1" applyFill="1" applyBorder="1"/>
    <xf numFmtId="0" fontId="6" fillId="0" borderId="13" xfId="0" applyFont="1" applyFill="1" applyBorder="1" applyAlignment="1">
      <alignment horizontal="left" vertical="top" wrapText="1" indent="2"/>
    </xf>
    <xf numFmtId="164" fontId="18" fillId="0" borderId="8" xfId="0" applyNumberFormat="1" applyFont="1" applyFill="1" applyBorder="1" applyAlignment="1">
      <alignment horizontal="left" vertical="top" wrapText="1" indent="2"/>
    </xf>
    <xf numFmtId="164" fontId="18" fillId="0" borderId="13" xfId="0" applyNumberFormat="1" applyFont="1" applyFill="1" applyBorder="1" applyAlignment="1">
      <alignment horizontal="left" vertical="top" wrapText="1" indent="2"/>
    </xf>
    <xf numFmtId="164" fontId="6" fillId="0" borderId="8" xfId="9" applyNumberFormat="1" applyFont="1" applyFill="1" applyBorder="1"/>
    <xf numFmtId="173" fontId="6" fillId="0" borderId="13" xfId="2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indent="2"/>
    </xf>
    <xf numFmtId="0" fontId="24" fillId="0" borderId="9" xfId="2" applyFont="1" applyFill="1" applyBorder="1" applyAlignment="1">
      <alignment horizontal="left" indent="2"/>
    </xf>
    <xf numFmtId="0" fontId="8" fillId="0" borderId="9" xfId="2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wrapText="1" indent="2"/>
    </xf>
    <xf numFmtId="0" fontId="10" fillId="0" borderId="8" xfId="0" applyFont="1" applyFill="1" applyBorder="1" applyAlignment="1">
      <alignment horizontal="left" vertical="top" wrapText="1" indent="2"/>
    </xf>
    <xf numFmtId="0" fontId="15" fillId="0" borderId="18" xfId="2" applyFont="1" applyFill="1" applyBorder="1" applyAlignment="1">
      <alignment horizontal="left"/>
    </xf>
    <xf numFmtId="164" fontId="6" fillId="0" borderId="18" xfId="2" applyNumberFormat="1" applyFont="1" applyFill="1" applyBorder="1" applyAlignment="1">
      <alignment horizontal="center"/>
    </xf>
    <xf numFmtId="164" fontId="15" fillId="0" borderId="18" xfId="2" applyNumberFormat="1" applyFont="1" applyFill="1" applyBorder="1"/>
    <xf numFmtId="167" fontId="6" fillId="0" borderId="13" xfId="1" applyNumberFormat="1" applyFont="1" applyFill="1" applyBorder="1" applyAlignment="1">
      <alignment horizontal="center"/>
    </xf>
    <xf numFmtId="164" fontId="8" fillId="0" borderId="14" xfId="2" applyNumberFormat="1" applyFont="1" applyFill="1" applyBorder="1" applyAlignment="1">
      <alignment horizontal="center"/>
    </xf>
    <xf numFmtId="164" fontId="6" fillId="0" borderId="7" xfId="1" applyNumberFormat="1" applyFont="1" applyFill="1" applyBorder="1"/>
    <xf numFmtId="164" fontId="17" fillId="0" borderId="8" xfId="2" applyNumberFormat="1" applyFont="1" applyFill="1" applyBorder="1"/>
    <xf numFmtId="0" fontId="8" fillId="0" borderId="9" xfId="2" applyFont="1" applyFill="1" applyBorder="1" applyAlignment="1">
      <alignment horizontal="left" indent="1"/>
    </xf>
    <xf numFmtId="164" fontId="8" fillId="0" borderId="9" xfId="2" applyNumberFormat="1" applyFont="1" applyFill="1" applyBorder="1"/>
    <xf numFmtId="164" fontId="14" fillId="0" borderId="13" xfId="2" applyNumberFormat="1" applyFont="1" applyFill="1" applyBorder="1"/>
    <xf numFmtId="164" fontId="14" fillId="0" borderId="18" xfId="3" applyNumberFormat="1" applyFont="1" applyFill="1" applyBorder="1" applyAlignment="1">
      <alignment horizontal="left"/>
    </xf>
    <xf numFmtId="167" fontId="17" fillId="0" borderId="18" xfId="2" applyNumberFormat="1" applyFont="1" applyFill="1" applyBorder="1" applyAlignment="1">
      <alignment horizontal="center"/>
    </xf>
    <xf numFmtId="164" fontId="8" fillId="0" borderId="18" xfId="2" applyNumberFormat="1" applyFont="1" applyFill="1" applyBorder="1" applyAlignment="1">
      <alignment horizontal="center"/>
    </xf>
    <xf numFmtId="0" fontId="19" fillId="0" borderId="13" xfId="2" applyFont="1" applyFill="1" applyBorder="1"/>
    <xf numFmtId="164" fontId="8" fillId="0" borderId="21" xfId="2" applyNumberFormat="1" applyFont="1" applyFill="1" applyBorder="1"/>
    <xf numFmtId="0" fontId="43" fillId="0" borderId="8" xfId="0" applyFont="1" applyFill="1" applyBorder="1" applyAlignment="1">
      <alignment horizontal="left" wrapText="1" indent="2"/>
    </xf>
    <xf numFmtId="164" fontId="8" fillId="0" borderId="5" xfId="2" applyNumberFormat="1" applyFont="1" applyFill="1" applyBorder="1" applyAlignment="1">
      <alignment horizontal="center"/>
    </xf>
    <xf numFmtId="166" fontId="17" fillId="0" borderId="8" xfId="2" applyNumberFormat="1" applyFont="1" applyFill="1" applyBorder="1" applyAlignment="1">
      <alignment horizontal="center"/>
    </xf>
    <xf numFmtId="164" fontId="6" fillId="0" borderId="13" xfId="2" applyNumberFormat="1" applyFont="1" applyFill="1" applyBorder="1" applyAlignment="1">
      <alignment horizontal="right"/>
    </xf>
    <xf numFmtId="0" fontId="14" fillId="0" borderId="0" xfId="2" applyFont="1" applyFill="1" applyAlignment="1">
      <alignment horizontal="center"/>
    </xf>
    <xf numFmtId="3" fontId="6" fillId="0" borderId="4" xfId="2" applyNumberFormat="1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left" indent="1"/>
    </xf>
    <xf numFmtId="0" fontId="14" fillId="0" borderId="8" xfId="2" applyFont="1" applyFill="1" applyBorder="1" applyAlignment="1">
      <alignment horizontal="center"/>
    </xf>
    <xf numFmtId="3" fontId="6" fillId="0" borderId="13" xfId="1" applyNumberFormat="1" applyFont="1" applyFill="1" applyBorder="1"/>
    <xf numFmtId="0" fontId="14" fillId="0" borderId="19" xfId="2" applyFont="1" applyFill="1" applyBorder="1" applyAlignment="1">
      <alignment horizontal="left" indent="2"/>
    </xf>
    <xf numFmtId="164" fontId="14" fillId="0" borderId="0" xfId="2" applyNumberFormat="1" applyFont="1" applyFill="1"/>
    <xf numFmtId="169" fontId="14" fillId="0" borderId="8" xfId="8" applyNumberFormat="1" applyFont="1" applyFill="1" applyBorder="1" applyAlignment="1">
      <alignment horizontal="right"/>
    </xf>
    <xf numFmtId="3" fontId="14" fillId="0" borderId="0" xfId="2" applyNumberFormat="1" applyFont="1" applyFill="1"/>
    <xf numFmtId="171" fontId="8" fillId="0" borderId="13" xfId="1" applyNumberFormat="1" applyFont="1" applyFill="1" applyBorder="1"/>
    <xf numFmtId="3" fontId="15" fillId="0" borderId="0" xfId="2" applyNumberFormat="1" applyFont="1" applyFill="1"/>
    <xf numFmtId="0" fontId="8" fillId="0" borderId="8" xfId="2" applyFont="1" applyFill="1" applyBorder="1" applyAlignment="1">
      <alignment horizontal="right" wrapText="1" indent="3"/>
    </xf>
    <xf numFmtId="3" fontId="8" fillId="0" borderId="13" xfId="1" applyNumberFormat="1" applyFont="1" applyFill="1" applyBorder="1"/>
    <xf numFmtId="3" fontId="10" fillId="0" borderId="13" xfId="1" applyNumberFormat="1" applyFont="1" applyFill="1" applyBorder="1"/>
    <xf numFmtId="0" fontId="45" fillId="0" borderId="8" xfId="0" applyFont="1" applyFill="1" applyBorder="1" applyAlignment="1">
      <alignment horizontal="left" indent="2"/>
    </xf>
    <xf numFmtId="0" fontId="41" fillId="0" borderId="8" xfId="2" applyFont="1" applyFill="1" applyBorder="1" applyAlignment="1">
      <alignment horizontal="left" vertical="justify" indent="2"/>
    </xf>
    <xf numFmtId="0" fontId="41" fillId="0" borderId="8" xfId="0" applyFont="1" applyFill="1" applyBorder="1" applyAlignment="1">
      <alignment horizontal="left" vertical="justify" indent="2"/>
    </xf>
    <xf numFmtId="0" fontId="30" fillId="0" borderId="8" xfId="2" applyFont="1" applyFill="1" applyBorder="1" applyAlignment="1">
      <alignment horizontal="left" wrapText="1" indent="1"/>
    </xf>
    <xf numFmtId="169" fontId="21" fillId="0" borderId="8" xfId="2" applyNumberFormat="1" applyFont="1" applyFill="1" applyBorder="1" applyAlignment="1">
      <alignment horizontal="center"/>
    </xf>
    <xf numFmtId="0" fontId="37" fillId="0" borderId="8" xfId="2" applyFont="1" applyFill="1" applyBorder="1" applyAlignment="1">
      <alignment horizontal="left" wrapText="1" indent="1"/>
    </xf>
    <xf numFmtId="164" fontId="38" fillId="0" borderId="8" xfId="2" applyNumberFormat="1" applyFont="1" applyFill="1" applyBorder="1"/>
    <xf numFmtId="3" fontId="35" fillId="0" borderId="13" xfId="1" applyNumberFormat="1" applyFont="1" applyFill="1" applyBorder="1"/>
    <xf numFmtId="167" fontId="5" fillId="0" borderId="13" xfId="1" applyNumberFormat="1" applyFont="1" applyFill="1" applyBorder="1" applyAlignment="1">
      <alignment horizontal="center"/>
    </xf>
    <xf numFmtId="168" fontId="35" fillId="0" borderId="13" xfId="1" applyNumberFormat="1" applyFont="1" applyFill="1" applyBorder="1"/>
    <xf numFmtId="0" fontId="19" fillId="0" borderId="0" xfId="2" applyFont="1" applyFill="1"/>
    <xf numFmtId="3" fontId="18" fillId="0" borderId="13" xfId="1" applyNumberFormat="1" applyFont="1" applyFill="1" applyBorder="1"/>
    <xf numFmtId="168" fontId="18" fillId="0" borderId="13" xfId="1" applyNumberFormat="1" applyFont="1" applyFill="1" applyBorder="1"/>
    <xf numFmtId="0" fontId="14" fillId="0" borderId="9" xfId="2" applyFont="1" applyFill="1" applyBorder="1"/>
    <xf numFmtId="0" fontId="22" fillId="0" borderId="9" xfId="2" applyFont="1" applyFill="1" applyBorder="1" applyAlignment="1">
      <alignment horizontal="left" indent="1"/>
    </xf>
    <xf numFmtId="164" fontId="15" fillId="0" borderId="9" xfId="2" applyNumberFormat="1" applyFont="1" applyFill="1" applyBorder="1"/>
    <xf numFmtId="3" fontId="10" fillId="0" borderId="5" xfId="1" applyNumberFormat="1" applyFont="1" applyFill="1" applyBorder="1"/>
    <xf numFmtId="167" fontId="8" fillId="0" borderId="5" xfId="1" applyNumberFormat="1" applyFont="1" applyFill="1" applyBorder="1" applyAlignment="1">
      <alignment horizontal="center"/>
    </xf>
    <xf numFmtId="168" fontId="8" fillId="0" borderId="5" xfId="1" applyNumberFormat="1" applyFont="1" applyFill="1" applyBorder="1"/>
    <xf numFmtId="0" fontId="15" fillId="0" borderId="2" xfId="2" applyFont="1" applyFill="1" applyBorder="1" applyAlignment="1">
      <alignment horizontal="left"/>
    </xf>
    <xf numFmtId="164" fontId="15" fillId="0" borderId="4" xfId="2" applyNumberFormat="1" applyFont="1" applyFill="1" applyBorder="1"/>
    <xf numFmtId="3" fontId="15" fillId="0" borderId="3" xfId="1" applyNumberFormat="1" applyFont="1" applyFill="1" applyBorder="1"/>
    <xf numFmtId="168" fontId="15" fillId="0" borderId="4" xfId="1" applyNumberFormat="1" applyFont="1" applyFill="1" applyBorder="1"/>
    <xf numFmtId="168" fontId="15" fillId="0" borderId="3" xfId="1" applyNumberFormat="1" applyFont="1" applyFill="1" applyBorder="1"/>
    <xf numFmtId="0" fontId="14" fillId="0" borderId="0" xfId="2" applyFont="1" applyFill="1" applyBorder="1"/>
    <xf numFmtId="0" fontId="14" fillId="0" borderId="5" xfId="2" applyFont="1" applyFill="1" applyBorder="1"/>
    <xf numFmtId="164" fontId="14" fillId="0" borderId="5" xfId="2" applyNumberFormat="1" applyFont="1" applyFill="1" applyBorder="1"/>
    <xf numFmtId="0" fontId="15" fillId="0" borderId="8" xfId="2" applyFont="1" applyFill="1" applyBorder="1" applyAlignment="1">
      <alignment wrapText="1"/>
    </xf>
    <xf numFmtId="169" fontId="14" fillId="0" borderId="13" xfId="2" applyNumberFormat="1" applyFont="1" applyFill="1" applyBorder="1"/>
    <xf numFmtId="170" fontId="8" fillId="0" borderId="13" xfId="1" applyNumberFormat="1" applyFont="1" applyFill="1" applyBorder="1"/>
    <xf numFmtId="0" fontId="41" fillId="0" borderId="8" xfId="0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indent="2"/>
    </xf>
    <xf numFmtId="169" fontId="24" fillId="0" borderId="8" xfId="2" applyNumberFormat="1" applyFont="1" applyFill="1" applyBorder="1" applyAlignment="1">
      <alignment horizontal="center"/>
    </xf>
    <xf numFmtId="0" fontId="15" fillId="0" borderId="0" xfId="2" applyFont="1" applyFill="1" applyBorder="1"/>
    <xf numFmtId="3" fontId="8" fillId="0" borderId="5" xfId="1" applyNumberFormat="1" applyFont="1" applyFill="1" applyBorder="1"/>
    <xf numFmtId="169" fontId="17" fillId="0" borderId="9" xfId="2" applyNumberFormat="1" applyFont="1" applyFill="1" applyBorder="1" applyAlignment="1">
      <alignment horizontal="center"/>
    </xf>
    <xf numFmtId="3" fontId="14" fillId="0" borderId="4" xfId="1" applyNumberFormat="1" applyFont="1" applyFill="1" applyBorder="1"/>
    <xf numFmtId="168" fontId="14" fillId="0" borderId="3" xfId="1" applyNumberFormat="1" applyFont="1" applyFill="1" applyBorder="1"/>
    <xf numFmtId="168" fontId="14" fillId="0" borderId="4" xfId="1" applyNumberFormat="1" applyFont="1" applyFill="1" applyBorder="1"/>
    <xf numFmtId="168" fontId="14" fillId="0" borderId="16" xfId="1" applyNumberFormat="1" applyFont="1" applyFill="1" applyBorder="1"/>
    <xf numFmtId="0" fontId="27" fillId="0" borderId="5" xfId="2" applyFont="1" applyFill="1" applyBorder="1"/>
    <xf numFmtId="164" fontId="15" fillId="0" borderId="8" xfId="6" applyNumberFormat="1" applyFont="1" applyFill="1" applyBorder="1"/>
    <xf numFmtId="0" fontId="18" fillId="0" borderId="8" xfId="2" applyFont="1" applyFill="1" applyBorder="1" applyAlignment="1">
      <alignment horizontal="left" wrapText="1" indent="3"/>
    </xf>
    <xf numFmtId="171" fontId="6" fillId="0" borderId="13" xfId="1" applyNumberFormat="1" applyFont="1" applyFill="1" applyBorder="1"/>
    <xf numFmtId="164" fontId="14" fillId="0" borderId="9" xfId="2" applyNumberFormat="1" applyFont="1" applyFill="1" applyBorder="1"/>
    <xf numFmtId="167" fontId="35" fillId="0" borderId="5" xfId="1" applyNumberFormat="1" applyFont="1" applyFill="1" applyBorder="1" applyAlignment="1">
      <alignment horizontal="center"/>
    </xf>
    <xf numFmtId="168" fontId="18" fillId="0" borderId="5" xfId="1" applyNumberFormat="1" applyFont="1" applyFill="1" applyBorder="1"/>
    <xf numFmtId="3" fontId="15" fillId="0" borderId="4" xfId="1" applyNumberFormat="1" applyFont="1" applyFill="1" applyBorder="1"/>
    <xf numFmtId="168" fontId="15" fillId="0" borderId="16" xfId="1" applyNumberFormat="1" applyFont="1" applyFill="1" applyBorder="1"/>
    <xf numFmtId="169" fontId="17" fillId="0" borderId="13" xfId="2" applyNumberFormat="1" applyFont="1" applyFill="1" applyBorder="1"/>
    <xf numFmtId="0" fontId="41" fillId="0" borderId="22" xfId="0" applyFont="1" applyFill="1" applyBorder="1" applyAlignment="1">
      <alignment horizontal="left" wrapText="1" indent="2"/>
    </xf>
    <xf numFmtId="9" fontId="3" fillId="0" borderId="20" xfId="13" applyFont="1" applyFill="1" applyBorder="1" applyAlignment="1">
      <alignment horizontal="left" vertical="center" wrapText="1"/>
    </xf>
    <xf numFmtId="164" fontId="21" fillId="0" borderId="8" xfId="2" applyNumberFormat="1" applyFont="1" applyFill="1" applyBorder="1" applyAlignment="1">
      <alignment horizontal="left" vertical="top" wrapText="1" indent="2"/>
    </xf>
    <xf numFmtId="0" fontId="6" fillId="0" borderId="8" xfId="2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vertical="top" wrapText="1" indent="2"/>
    </xf>
    <xf numFmtId="167" fontId="10" fillId="0" borderId="13" xfId="1" applyNumberFormat="1" applyFont="1" applyFill="1" applyBorder="1" applyAlignment="1">
      <alignment horizontal="center"/>
    </xf>
    <xf numFmtId="0" fontId="3" fillId="0" borderId="41" xfId="2" applyFont="1" applyFill="1" applyBorder="1" applyAlignment="1">
      <alignment horizontal="left" vertical="top" wrapText="1" indent="2"/>
    </xf>
    <xf numFmtId="167" fontId="18" fillId="0" borderId="5" xfId="1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left"/>
    </xf>
    <xf numFmtId="164" fontId="15" fillId="0" borderId="5" xfId="2" applyNumberFormat="1" applyFont="1" applyFill="1" applyBorder="1"/>
    <xf numFmtId="169" fontId="14" fillId="0" borderId="8" xfId="2" applyNumberFormat="1" applyFont="1" applyFill="1" applyBorder="1" applyAlignment="1">
      <alignment horizontal="center"/>
    </xf>
    <xf numFmtId="175" fontId="14" fillId="0" borderId="0" xfId="2" applyNumberFormat="1" applyFont="1" applyFill="1"/>
    <xf numFmtId="169" fontId="17" fillId="0" borderId="8" xfId="2" applyNumberFormat="1" applyFont="1" applyFill="1" applyBorder="1" applyAlignment="1">
      <alignment horizontal="center"/>
    </xf>
    <xf numFmtId="164" fontId="17" fillId="0" borderId="8" xfId="2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75" fontId="15" fillId="0" borderId="0" xfId="2" applyNumberFormat="1" applyFont="1" applyFill="1"/>
    <xf numFmtId="3" fontId="14" fillId="0" borderId="8" xfId="1" applyNumberFormat="1" applyFont="1" applyFill="1" applyBorder="1" applyAlignment="1">
      <alignment horizontal="center"/>
    </xf>
    <xf numFmtId="0" fontId="42" fillId="0" borderId="8" xfId="0" applyFont="1" applyFill="1" applyBorder="1" applyAlignment="1">
      <alignment horizontal="left" vertical="top" wrapText="1" indent="2"/>
    </xf>
    <xf numFmtId="0" fontId="14" fillId="0" borderId="13" xfId="2" applyFont="1" applyFill="1" applyBorder="1" applyAlignment="1">
      <alignment horizontal="center"/>
    </xf>
    <xf numFmtId="3" fontId="24" fillId="0" borderId="8" xfId="1" applyNumberFormat="1" applyFont="1" applyFill="1" applyBorder="1" applyAlignment="1">
      <alignment horizontal="center"/>
    </xf>
    <xf numFmtId="168" fontId="24" fillId="0" borderId="8" xfId="1" applyNumberFormat="1" applyFont="1" applyFill="1" applyBorder="1" applyAlignment="1">
      <alignment horizontal="center"/>
    </xf>
    <xf numFmtId="169" fontId="21" fillId="0" borderId="13" xfId="2" applyNumberFormat="1" applyFont="1" applyFill="1" applyBorder="1"/>
    <xf numFmtId="3" fontId="25" fillId="0" borderId="8" xfId="1" applyNumberFormat="1" applyFont="1" applyFill="1" applyBorder="1" applyAlignment="1">
      <alignment horizontal="center"/>
    </xf>
    <xf numFmtId="164" fontId="17" fillId="0" borderId="5" xfId="2" applyNumberFormat="1" applyFont="1" applyFill="1" applyBorder="1"/>
    <xf numFmtId="3" fontId="17" fillId="0" borderId="9" xfId="1" applyNumberFormat="1" applyFont="1" applyFill="1" applyBorder="1" applyAlignment="1">
      <alignment horizontal="center"/>
    </xf>
    <xf numFmtId="164" fontId="21" fillId="0" borderId="13" xfId="2" applyNumberFormat="1" applyFont="1" applyFill="1" applyBorder="1"/>
    <xf numFmtId="3" fontId="21" fillId="0" borderId="13" xfId="2" applyNumberFormat="1" applyFont="1" applyFill="1" applyBorder="1"/>
    <xf numFmtId="3" fontId="21" fillId="0" borderId="8" xfId="2" applyNumberFormat="1" applyFont="1" applyFill="1" applyBorder="1"/>
    <xf numFmtId="3" fontId="45" fillId="0" borderId="8" xfId="2" applyNumberFormat="1" applyFont="1" applyFill="1" applyBorder="1"/>
    <xf numFmtId="164" fontId="8" fillId="0" borderId="13" xfId="1" applyNumberFormat="1" applyFont="1" applyFill="1" applyBorder="1" applyAlignment="1">
      <alignment wrapText="1"/>
    </xf>
    <xf numFmtId="3" fontId="14" fillId="0" borderId="0" xfId="2" applyNumberFormat="1" applyFont="1" applyFill="1" applyBorder="1"/>
    <xf numFmtId="164" fontId="24" fillId="0" borderId="8" xfId="2" applyNumberFormat="1" applyFont="1" applyFill="1" applyBorder="1"/>
    <xf numFmtId="3" fontId="14" fillId="0" borderId="8" xfId="1" applyNumberFormat="1" applyFont="1" applyFill="1" applyBorder="1" applyAlignment="1">
      <alignment horizontal="right"/>
    </xf>
    <xf numFmtId="164" fontId="41" fillId="0" borderId="0" xfId="2" applyNumberFormat="1" applyFont="1" applyFill="1" applyBorder="1"/>
    <xf numFmtId="164" fontId="14" fillId="0" borderId="0" xfId="2" applyNumberFormat="1" applyFont="1" applyFill="1" applyBorder="1"/>
    <xf numFmtId="0" fontId="14" fillId="0" borderId="8" xfId="0" applyFont="1" applyFill="1" applyBorder="1" applyAlignment="1">
      <alignment horizontal="left" wrapText="1" indent="2"/>
    </xf>
    <xf numFmtId="0" fontId="41" fillId="0" borderId="9" xfId="2" applyFont="1" applyFill="1" applyBorder="1" applyAlignment="1">
      <alignment horizontal="left" wrapText="1" indent="2"/>
    </xf>
    <xf numFmtId="168" fontId="21" fillId="0" borderId="8" xfId="2" applyNumberFormat="1" applyFont="1" applyFill="1" applyBorder="1"/>
    <xf numFmtId="3" fontId="17" fillId="0" borderId="8" xfId="1" applyNumberFormat="1" applyFont="1" applyFill="1" applyBorder="1" applyAlignment="1">
      <alignment horizontal="right"/>
    </xf>
    <xf numFmtId="0" fontId="15" fillId="0" borderId="4" xfId="2" applyFont="1" applyFill="1" applyBorder="1" applyAlignment="1">
      <alignment horizontal="left"/>
    </xf>
    <xf numFmtId="164" fontId="21" fillId="0" borderId="4" xfId="2" applyNumberFormat="1" applyFont="1" applyFill="1" applyBorder="1"/>
    <xf numFmtId="3" fontId="21" fillId="0" borderId="4" xfId="2" applyNumberFormat="1" applyFont="1" applyFill="1" applyBorder="1" applyAlignment="1">
      <alignment horizontal="right"/>
    </xf>
    <xf numFmtId="3" fontId="15" fillId="0" borderId="3" xfId="1" applyNumberFormat="1" applyFont="1" applyFill="1" applyBorder="1" applyAlignment="1">
      <alignment horizontal="right"/>
    </xf>
    <xf numFmtId="0" fontId="15" fillId="0" borderId="42" xfId="2" applyFont="1" applyFill="1" applyBorder="1" applyAlignment="1">
      <alignment horizontal="left"/>
    </xf>
    <xf numFmtId="164" fontId="15" fillId="0" borderId="36" xfId="2" applyNumberFormat="1" applyFont="1" applyFill="1" applyBorder="1"/>
    <xf numFmtId="3" fontId="15" fillId="0" borderId="36" xfId="1" applyNumberFormat="1" applyFont="1" applyFill="1" applyBorder="1" applyAlignment="1">
      <alignment horizontal="right"/>
    </xf>
    <xf numFmtId="168" fontId="15" fillId="0" borderId="36" xfId="1" applyNumberFormat="1" applyFont="1" applyFill="1" applyBorder="1"/>
    <xf numFmtId="0" fontId="15" fillId="0" borderId="1" xfId="2" applyFont="1" applyFill="1" applyBorder="1" applyAlignment="1">
      <alignment horizontal="left"/>
    </xf>
    <xf numFmtId="164" fontId="8" fillId="0" borderId="9" xfId="2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15" fillId="0" borderId="4" xfId="1" applyNumberFormat="1" applyFont="1" applyFill="1" applyBorder="1" applyAlignment="1">
      <alignment horizontal="right"/>
    </xf>
    <xf numFmtId="0" fontId="15" fillId="0" borderId="13" xfId="2" applyFont="1" applyFill="1" applyBorder="1" applyAlignment="1">
      <alignment horizontal="left" wrapText="1"/>
    </xf>
    <xf numFmtId="164" fontId="15" fillId="0" borderId="13" xfId="2" applyNumberFormat="1" applyFont="1" applyFill="1" applyBorder="1"/>
    <xf numFmtId="3" fontId="14" fillId="0" borderId="13" xfId="1" applyNumberFormat="1" applyFont="1" applyFill="1" applyBorder="1" applyAlignment="1">
      <alignment horizontal="right"/>
    </xf>
    <xf numFmtId="0" fontId="15" fillId="0" borderId="5" xfId="2" applyFont="1" applyFill="1" applyBorder="1"/>
    <xf numFmtId="173" fontId="21" fillId="0" borderId="8" xfId="1" applyNumberFormat="1" applyFont="1" applyFill="1" applyBorder="1" applyAlignment="1">
      <alignment horizontal="center"/>
    </xf>
    <xf numFmtId="0" fontId="15" fillId="0" borderId="8" xfId="2" applyFont="1" applyFill="1" applyBorder="1" applyAlignment="1">
      <alignment horizontal="left" wrapText="1" indent="1"/>
    </xf>
    <xf numFmtId="3" fontId="10" fillId="0" borderId="13" xfId="1" applyNumberFormat="1" applyFont="1" applyFill="1" applyBorder="1" applyAlignment="1">
      <alignment horizontal="right"/>
    </xf>
    <xf numFmtId="0" fontId="41" fillId="0" borderId="8" xfId="2" applyFont="1" applyFill="1" applyBorder="1" applyAlignment="1">
      <alignment horizontal="left" wrapText="1" indent="2"/>
    </xf>
    <xf numFmtId="3" fontId="14" fillId="0" borderId="13" xfId="1" applyNumberFormat="1" applyFont="1" applyFill="1" applyBorder="1" applyAlignment="1">
      <alignment horizontal="center"/>
    </xf>
    <xf numFmtId="167" fontId="21" fillId="0" borderId="8" xfId="2" applyNumberFormat="1" applyFont="1" applyFill="1" applyBorder="1" applyAlignment="1">
      <alignment horizontal="center"/>
    </xf>
    <xf numFmtId="3" fontId="17" fillId="0" borderId="8" xfId="1" applyNumberFormat="1" applyFont="1" applyFill="1" applyBorder="1"/>
    <xf numFmtId="168" fontId="17" fillId="0" borderId="8" xfId="1" applyNumberFormat="1" applyFont="1" applyFill="1" applyBorder="1"/>
    <xf numFmtId="3" fontId="6" fillId="0" borderId="8" xfId="1" applyNumberFormat="1" applyFont="1" applyFill="1" applyBorder="1" applyAlignment="1">
      <alignment horizontal="center"/>
    </xf>
    <xf numFmtId="3" fontId="6" fillId="0" borderId="13" xfId="1" applyNumberFormat="1" applyFont="1" applyFill="1" applyBorder="1" applyAlignment="1">
      <alignment horizontal="center"/>
    </xf>
    <xf numFmtId="3" fontId="17" fillId="0" borderId="8" xfId="1" applyNumberFormat="1" applyFont="1" applyFill="1" applyBorder="1" applyAlignment="1">
      <alignment horizontal="center"/>
    </xf>
    <xf numFmtId="164" fontId="21" fillId="0" borderId="5" xfId="2" applyNumberFormat="1" applyFont="1" applyFill="1" applyBorder="1"/>
    <xf numFmtId="3" fontId="17" fillId="0" borderId="5" xfId="1" applyNumberFormat="1" applyFont="1" applyFill="1" applyBorder="1" applyAlignment="1">
      <alignment horizontal="center"/>
    </xf>
    <xf numFmtId="168" fontId="17" fillId="0" borderId="5" xfId="1" applyNumberFormat="1" applyFont="1" applyFill="1" applyBorder="1" applyAlignment="1">
      <alignment horizontal="center"/>
    </xf>
    <xf numFmtId="164" fontId="15" fillId="0" borderId="21" xfId="2" applyNumberFormat="1" applyFont="1" applyFill="1" applyBorder="1"/>
    <xf numFmtId="0" fontId="39" fillId="0" borderId="8" xfId="2" applyFont="1" applyFill="1" applyBorder="1" applyAlignment="1">
      <alignment horizontal="left" indent="1"/>
    </xf>
    <xf numFmtId="0" fontId="15" fillId="0" borderId="9" xfId="2" applyFont="1" applyFill="1" applyBorder="1" applyAlignment="1">
      <alignment horizontal="left" wrapText="1" indent="1"/>
    </xf>
    <xf numFmtId="49" fontId="15" fillId="0" borderId="0" xfId="2" applyNumberFormat="1" applyFont="1" applyFill="1" applyBorder="1"/>
    <xf numFmtId="49" fontId="15" fillId="0" borderId="0" xfId="2" applyNumberFormat="1" applyFont="1" applyFill="1" applyBorder="1" applyAlignment="1">
      <alignment horizontal="center"/>
    </xf>
    <xf numFmtId="3" fontId="10" fillId="0" borderId="8" xfId="1" applyNumberFormat="1" applyFont="1" applyFill="1" applyBorder="1"/>
    <xf numFmtId="3" fontId="6" fillId="0" borderId="8" xfId="1" applyNumberFormat="1" applyFont="1" applyFill="1" applyBorder="1"/>
    <xf numFmtId="3" fontId="6" fillId="0" borderId="5" xfId="1" applyNumberFormat="1" applyFont="1" applyFill="1" applyBorder="1"/>
    <xf numFmtId="0" fontId="19" fillId="0" borderId="2" xfId="2" applyFont="1" applyFill="1" applyBorder="1" applyAlignment="1">
      <alignment vertical="justify"/>
    </xf>
    <xf numFmtId="0" fontId="0" fillId="0" borderId="3" xfId="0" applyFill="1" applyBorder="1" applyAlignment="1">
      <alignment vertical="justify"/>
    </xf>
    <xf numFmtId="3" fontId="19" fillId="0" borderId="3" xfId="2" applyNumberFormat="1" applyFont="1" applyFill="1" applyBorder="1" applyAlignment="1">
      <alignment horizontal="left" vertical="justify"/>
    </xf>
    <xf numFmtId="0" fontId="19" fillId="0" borderId="3" xfId="2" applyFont="1" applyFill="1" applyBorder="1" applyAlignment="1">
      <alignment horizontal="left" vertical="justify"/>
    </xf>
    <xf numFmtId="0" fontId="19" fillId="0" borderId="16" xfId="2" applyFont="1" applyFill="1" applyBorder="1" applyAlignment="1">
      <alignment horizontal="left" vertical="justify"/>
    </xf>
    <xf numFmtId="0" fontId="15" fillId="0" borderId="0" xfId="2" applyFont="1" applyFill="1" applyBorder="1" applyAlignment="1"/>
    <xf numFmtId="0" fontId="16" fillId="0" borderId="13" xfId="2" applyFont="1" applyFill="1" applyBorder="1" applyAlignment="1">
      <alignment horizontal="left" indent="1"/>
    </xf>
    <xf numFmtId="167" fontId="17" fillId="0" borderId="8" xfId="1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left" vertical="top" wrapText="1" indent="2"/>
    </xf>
    <xf numFmtId="3" fontId="6" fillId="0" borderId="13" xfId="0" applyNumberFormat="1" applyFont="1" applyFill="1" applyBorder="1" applyAlignment="1">
      <alignment horizontal="left" vertical="top" wrapText="1" indent="2"/>
    </xf>
    <xf numFmtId="166" fontId="24" fillId="0" borderId="8" xfId="2" applyNumberFormat="1" applyFont="1" applyFill="1" applyBorder="1" applyAlignment="1">
      <alignment horizontal="center"/>
    </xf>
    <xf numFmtId="168" fontId="15" fillId="0" borderId="5" xfId="1" applyNumberFormat="1" applyFont="1" applyFill="1" applyBorder="1" applyAlignment="1">
      <alignment horizontal="center"/>
    </xf>
    <xf numFmtId="164" fontId="17" fillId="0" borderId="4" xfId="2" applyNumberFormat="1" applyFont="1" applyFill="1" applyBorder="1"/>
    <xf numFmtId="3" fontId="14" fillId="0" borderId="4" xfId="1" applyNumberFormat="1" applyFont="1" applyFill="1" applyBorder="1" applyAlignment="1">
      <alignment horizontal="center"/>
    </xf>
    <xf numFmtId="168" fontId="14" fillId="0" borderId="4" xfId="1" applyNumberFormat="1" applyFont="1" applyFill="1" applyBorder="1" applyAlignment="1">
      <alignment horizontal="center"/>
    </xf>
    <xf numFmtId="3" fontId="14" fillId="0" borderId="8" xfId="1" applyNumberFormat="1" applyFont="1" applyFill="1" applyBorder="1"/>
    <xf numFmtId="167" fontId="17" fillId="0" borderId="8" xfId="2" applyNumberFormat="1" applyFont="1" applyFill="1" applyBorder="1" applyAlignment="1">
      <alignment horizontal="center"/>
    </xf>
    <xf numFmtId="3" fontId="14" fillId="0" borderId="5" xfId="1" applyNumberFormat="1" applyFont="1" applyFill="1" applyBorder="1"/>
    <xf numFmtId="168" fontId="14" fillId="0" borderId="5" xfId="1" applyNumberFormat="1" applyFont="1" applyFill="1" applyBorder="1"/>
    <xf numFmtId="168" fontId="14" fillId="0" borderId="13" xfId="1" applyNumberFormat="1" applyFont="1" applyFill="1" applyBorder="1"/>
    <xf numFmtId="0" fontId="21" fillId="0" borderId="8" xfId="2" applyFont="1" applyFill="1" applyBorder="1" applyAlignment="1">
      <alignment horizontal="left" indent="1"/>
    </xf>
    <xf numFmtId="3" fontId="17" fillId="0" borderId="8" xfId="2" applyNumberFormat="1" applyFont="1" applyFill="1" applyBorder="1"/>
    <xf numFmtId="169" fontId="17" fillId="0" borderId="8" xfId="2" applyNumberFormat="1" applyFont="1" applyFill="1" applyBorder="1"/>
    <xf numFmtId="0" fontId="15" fillId="0" borderId="8" xfId="0" applyFont="1" applyFill="1" applyBorder="1" applyAlignment="1">
      <alignment horizontal="left" indent="1"/>
    </xf>
    <xf numFmtId="3" fontId="23" fillId="0" borderId="8" xfId="1" applyNumberFormat="1" applyFont="1" applyFill="1" applyBorder="1"/>
    <xf numFmtId="164" fontId="14" fillId="0" borderId="8" xfId="2" applyNumberFormat="1" applyFont="1" applyFill="1" applyBorder="1" applyAlignment="1">
      <alignment vertical="top"/>
    </xf>
    <xf numFmtId="3" fontId="14" fillId="0" borderId="8" xfId="1" applyNumberFormat="1" applyFont="1" applyFill="1" applyBorder="1" applyAlignment="1"/>
    <xf numFmtId="168" fontId="14" fillId="0" borderId="8" xfId="1" applyNumberFormat="1" applyFont="1" applyFill="1" applyBorder="1" applyAlignment="1">
      <alignment vertical="top"/>
    </xf>
    <xf numFmtId="0" fontId="14" fillId="0" borderId="0" xfId="2" applyFont="1" applyFill="1" applyAlignment="1">
      <alignment vertical="top"/>
    </xf>
    <xf numFmtId="0" fontId="14" fillId="0" borderId="9" xfId="0" applyFont="1" applyFill="1" applyBorder="1" applyAlignment="1">
      <alignment horizontal="left" vertical="top" wrapText="1" indent="2"/>
    </xf>
    <xf numFmtId="164" fontId="14" fillId="0" borderId="5" xfId="2" applyNumberFormat="1" applyFont="1" applyFill="1" applyBorder="1" applyAlignment="1">
      <alignment vertical="top"/>
    </xf>
    <xf numFmtId="3" fontId="14" fillId="0" borderId="5" xfId="1" applyNumberFormat="1" applyFont="1" applyFill="1" applyBorder="1" applyAlignment="1"/>
    <xf numFmtId="168" fontId="14" fillId="0" borderId="5" xfId="1" applyNumberFormat="1" applyFont="1" applyFill="1" applyBorder="1" applyAlignment="1">
      <alignment vertical="top"/>
    </xf>
    <xf numFmtId="168" fontId="14" fillId="0" borderId="9" xfId="1" applyNumberFormat="1" applyFont="1" applyFill="1" applyBorder="1" applyAlignment="1">
      <alignment vertical="top"/>
    </xf>
    <xf numFmtId="0" fontId="14" fillId="0" borderId="5" xfId="0" applyFont="1" applyFill="1" applyBorder="1" applyAlignment="1">
      <alignment horizontal="left" wrapText="1" indent="2"/>
    </xf>
    <xf numFmtId="3" fontId="14" fillId="0" borderId="15" xfId="1" applyNumberFormat="1" applyFont="1" applyFill="1" applyBorder="1" applyAlignment="1"/>
    <xf numFmtId="168" fontId="14" fillId="0" borderId="15" xfId="1" applyNumberFormat="1" applyFont="1" applyFill="1" applyBorder="1" applyAlignment="1">
      <alignment vertical="top"/>
    </xf>
    <xf numFmtId="3" fontId="15" fillId="0" borderId="4" xfId="2" applyNumberFormat="1" applyFont="1" applyFill="1" applyBorder="1"/>
    <xf numFmtId="0" fontId="14" fillId="0" borderId="0" xfId="2" applyFont="1" applyFill="1" applyAlignment="1">
      <alignment wrapText="1"/>
    </xf>
    <xf numFmtId="0" fontId="14" fillId="0" borderId="35" xfId="2" applyFont="1" applyFill="1" applyBorder="1"/>
    <xf numFmtId="166" fontId="14" fillId="0" borderId="13" xfId="6" applyNumberFormat="1" applyFont="1" applyFill="1" applyBorder="1"/>
    <xf numFmtId="164" fontId="15" fillId="0" borderId="9" xfId="6" applyNumberFormat="1" applyFont="1" applyFill="1" applyBorder="1"/>
    <xf numFmtId="166" fontId="25" fillId="0" borderId="8" xfId="6" applyNumberFormat="1" applyFont="1" applyFill="1" applyBorder="1"/>
    <xf numFmtId="164" fontId="15" fillId="0" borderId="18" xfId="6" applyNumberFormat="1" applyFont="1" applyFill="1" applyBorder="1" applyAlignment="1">
      <alignment horizontal="center"/>
    </xf>
    <xf numFmtId="164" fontId="15" fillId="0" borderId="14" xfId="6" applyNumberFormat="1" applyFont="1" applyFill="1" applyBorder="1" applyAlignment="1">
      <alignment horizontal="center"/>
    </xf>
    <xf numFmtId="166" fontId="15" fillId="0" borderId="0" xfId="2" applyNumberFormat="1" applyFont="1" applyFill="1" applyBorder="1"/>
    <xf numFmtId="0" fontId="15" fillId="0" borderId="17" xfId="2" applyFont="1" applyFill="1" applyBorder="1"/>
    <xf numFmtId="164" fontId="14" fillId="0" borderId="5" xfId="6" applyNumberFormat="1" applyFont="1" applyFill="1" applyBorder="1" applyAlignment="1">
      <alignment horizontal="center"/>
    </xf>
    <xf numFmtId="164" fontId="14" fillId="0" borderId="8" xfId="6" applyNumberFormat="1" applyFont="1" applyFill="1" applyBorder="1" applyAlignment="1">
      <alignment horizontal="center"/>
    </xf>
    <xf numFmtId="164" fontId="6" fillId="0" borderId="13" xfId="1" applyNumberFormat="1" applyFont="1" applyFill="1" applyBorder="1" applyAlignment="1">
      <alignment horizontal="center"/>
    </xf>
    <xf numFmtId="164" fontId="15" fillId="0" borderId="0" xfId="2" applyNumberFormat="1" applyFont="1" applyFill="1"/>
    <xf numFmtId="164" fontId="15" fillId="0" borderId="8" xfId="2" applyNumberFormat="1" applyFont="1" applyFill="1" applyBorder="1" applyAlignment="1">
      <alignment horizontal="right"/>
    </xf>
    <xf numFmtId="164" fontId="25" fillId="0" borderId="8" xfId="6" applyNumberFormat="1" applyFont="1" applyFill="1" applyBorder="1"/>
    <xf numFmtId="164" fontId="14" fillId="0" borderId="5" xfId="6" applyNumberFormat="1" applyFont="1" applyFill="1" applyBorder="1"/>
    <xf numFmtId="164" fontId="10" fillId="0" borderId="5" xfId="1" applyNumberFormat="1" applyFont="1" applyFill="1" applyBorder="1"/>
    <xf numFmtId="0" fontId="15" fillId="0" borderId="11" xfId="2" applyFont="1" applyFill="1" applyBorder="1" applyAlignment="1">
      <alignment horizontal="left"/>
    </xf>
    <xf numFmtId="164" fontId="15" fillId="0" borderId="11" xfId="6" applyNumberFormat="1" applyFont="1" applyFill="1" applyBorder="1" applyAlignment="1">
      <alignment horizontal="center"/>
    </xf>
    <xf numFmtId="172" fontId="14" fillId="0" borderId="5" xfId="6" applyNumberFormat="1" applyFont="1" applyFill="1" applyBorder="1"/>
    <xf numFmtId="0" fontId="19" fillId="0" borderId="8" xfId="2" applyFont="1" applyFill="1" applyBorder="1"/>
    <xf numFmtId="164" fontId="21" fillId="0" borderId="8" xfId="6" applyNumberFormat="1" applyFont="1" applyFill="1" applyBorder="1"/>
    <xf numFmtId="166" fontId="21" fillId="0" borderId="8" xfId="6" applyNumberFormat="1" applyFont="1" applyFill="1" applyBorder="1" applyAlignment="1">
      <alignment horizontal="center"/>
    </xf>
    <xf numFmtId="166" fontId="21" fillId="0" borderId="13" xfId="6" applyNumberFormat="1" applyFont="1" applyFill="1" applyBorder="1" applyAlignment="1">
      <alignment horizontal="center"/>
    </xf>
    <xf numFmtId="164" fontId="24" fillId="0" borderId="8" xfId="6" applyNumberFormat="1" applyFont="1" applyFill="1" applyBorder="1" applyAlignment="1">
      <alignment horizontal="center"/>
    </xf>
    <xf numFmtId="164" fontId="24" fillId="0" borderId="13" xfId="6" applyNumberFormat="1" applyFont="1" applyFill="1" applyBorder="1" applyAlignment="1">
      <alignment horizontal="center"/>
    </xf>
    <xf numFmtId="164" fontId="14" fillId="0" borderId="9" xfId="6" applyNumberFormat="1" applyFont="1" applyFill="1" applyBorder="1"/>
    <xf numFmtId="167" fontId="18" fillId="0" borderId="13" xfId="1" applyNumberFormat="1" applyFont="1" applyFill="1" applyBorder="1"/>
    <xf numFmtId="166" fontId="14" fillId="0" borderId="8" xfId="6" applyNumberFormat="1" applyFont="1" applyFill="1" applyBorder="1" applyAlignment="1">
      <alignment horizontal="center"/>
    </xf>
    <xf numFmtId="166" fontId="14" fillId="0" borderId="8" xfId="2" applyNumberFormat="1" applyFont="1" applyFill="1" applyBorder="1"/>
    <xf numFmtId="0" fontId="40" fillId="0" borderId="8" xfId="0" applyFont="1" applyFill="1" applyBorder="1" applyAlignment="1">
      <alignment horizontal="left" indent="2"/>
    </xf>
    <xf numFmtId="0" fontId="41" fillId="0" borderId="8" xfId="2" applyFont="1" applyFill="1" applyBorder="1" applyAlignment="1">
      <alignment horizontal="left" indent="2"/>
    </xf>
    <xf numFmtId="166" fontId="14" fillId="0" borderId="13" xfId="2" applyNumberFormat="1" applyFont="1" applyFill="1" applyBorder="1"/>
    <xf numFmtId="0" fontId="14" fillId="0" borderId="9" xfId="0" applyFont="1" applyFill="1" applyBorder="1" applyAlignment="1">
      <alignment horizontal="left" wrapText="1"/>
    </xf>
    <xf numFmtId="0" fontId="15" fillId="0" borderId="11" xfId="2" applyFont="1" applyFill="1" applyBorder="1"/>
    <xf numFmtId="4" fontId="15" fillId="0" borderId="0" xfId="2" applyNumberFormat="1" applyFont="1" applyFill="1"/>
    <xf numFmtId="0" fontId="14" fillId="0" borderId="8" xfId="2" applyFont="1" applyFill="1" applyBorder="1" applyAlignment="1">
      <alignment horizontal="left" wrapText="1" indent="1"/>
    </xf>
    <xf numFmtId="164" fontId="15" fillId="0" borderId="11" xfId="2" applyNumberFormat="1" applyFont="1" applyFill="1" applyBorder="1"/>
    <xf numFmtId="166" fontId="25" fillId="0" borderId="13" xfId="6" applyNumberFormat="1" applyFont="1" applyFill="1" applyBorder="1"/>
    <xf numFmtId="0" fontId="25" fillId="0" borderId="9" xfId="2" applyFont="1" applyFill="1" applyBorder="1" applyAlignment="1">
      <alignment horizontal="left" indent="2"/>
    </xf>
    <xf numFmtId="0" fontId="15" fillId="0" borderId="14" xfId="2" applyFont="1" applyFill="1" applyBorder="1" applyAlignment="1">
      <alignment horizontal="left"/>
    </xf>
    <xf numFmtId="164" fontId="15" fillId="0" borderId="21" xfId="6" applyNumberFormat="1" applyFont="1" applyFill="1" applyBorder="1"/>
    <xf numFmtId="0" fontId="14" fillId="0" borderId="8" xfId="0" applyFont="1" applyFill="1" applyBorder="1" applyAlignment="1">
      <alignment horizontal="left" vertical="justify" indent="2"/>
    </xf>
    <xf numFmtId="165" fontId="8" fillId="0" borderId="0" xfId="1" applyFont="1" applyFill="1"/>
    <xf numFmtId="165" fontId="15" fillId="0" borderId="0" xfId="1" applyFont="1" applyFill="1"/>
    <xf numFmtId="0" fontId="15" fillId="0" borderId="18" xfId="2" applyFont="1" applyFill="1" applyBorder="1"/>
    <xf numFmtId="164" fontId="15" fillId="0" borderId="18" xfId="6" applyNumberFormat="1" applyFont="1" applyFill="1" applyBorder="1"/>
    <xf numFmtId="164" fontId="43" fillId="0" borderId="8" xfId="1" applyNumberFormat="1" applyFont="1" applyFill="1" applyBorder="1"/>
    <xf numFmtId="0" fontId="43" fillId="0" borderId="8" xfId="0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vertical="justify" wrapText="1" indent="2"/>
    </xf>
    <xf numFmtId="0" fontId="14" fillId="0" borderId="10" xfId="0" applyFont="1" applyFill="1" applyBorder="1" applyAlignment="1">
      <alignment horizontal="left" wrapText="1" indent="2"/>
    </xf>
    <xf numFmtId="164" fontId="6" fillId="0" borderId="10" xfId="2" applyNumberFormat="1" applyFont="1" applyFill="1" applyBorder="1" applyAlignment="1">
      <alignment horizontal="right"/>
    </xf>
    <xf numFmtId="168" fontId="6" fillId="0" borderId="10" xfId="1" applyNumberFormat="1" applyFont="1" applyFill="1" applyBorder="1"/>
    <xf numFmtId="164" fontId="15" fillId="0" borderId="5" xfId="6" applyNumberFormat="1" applyFont="1" applyFill="1" applyBorder="1"/>
    <xf numFmtId="164" fontId="14" fillId="0" borderId="8" xfId="2" applyNumberFormat="1" applyFont="1" applyFill="1" applyBorder="1" applyAlignment="1">
      <alignment horizontal="right"/>
    </xf>
    <xf numFmtId="164" fontId="14" fillId="0" borderId="9" xfId="2" applyNumberFormat="1" applyFont="1" applyFill="1" applyBorder="1" applyAlignment="1">
      <alignment horizontal="right"/>
    </xf>
    <xf numFmtId="164" fontId="15" fillId="0" borderId="1" xfId="6" applyNumberFormat="1" applyFont="1" applyFill="1" applyBorder="1"/>
    <xf numFmtId="0" fontId="14" fillId="0" borderId="17" xfId="2" applyFont="1" applyFill="1" applyBorder="1"/>
    <xf numFmtId="0" fontId="19" fillId="0" borderId="8" xfId="2" applyFont="1" applyFill="1" applyBorder="1" applyAlignment="1">
      <alignment horizontal="left" indent="1"/>
    </xf>
    <xf numFmtId="164" fontId="15" fillId="0" borderId="11" xfId="6" applyNumberFormat="1" applyFont="1" applyFill="1" applyBorder="1"/>
    <xf numFmtId="171" fontId="18" fillId="0" borderId="8" xfId="1" applyNumberFormat="1" applyFont="1" applyFill="1" applyBorder="1"/>
    <xf numFmtId="168" fontId="18" fillId="0" borderId="8" xfId="2" applyNumberFormat="1" applyFont="1" applyFill="1" applyBorder="1" applyAlignment="1">
      <alignment horizontal="center"/>
    </xf>
    <xf numFmtId="168" fontId="18" fillId="0" borderId="13" xfId="2" applyNumberFormat="1" applyFont="1" applyFill="1" applyBorder="1" applyAlignment="1">
      <alignment horizontal="center"/>
    </xf>
    <xf numFmtId="0" fontId="18" fillId="0" borderId="13" xfId="2" applyFont="1" applyFill="1" applyBorder="1" applyAlignment="1">
      <alignment horizontal="center"/>
    </xf>
    <xf numFmtId="168" fontId="6" fillId="0" borderId="13" xfId="2" applyNumberFormat="1" applyFont="1" applyFill="1" applyBorder="1" applyAlignment="1">
      <alignment horizontal="center"/>
    </xf>
    <xf numFmtId="0" fontId="15" fillId="0" borderId="14" xfId="2" applyFont="1" applyFill="1" applyBorder="1"/>
    <xf numFmtId="164" fontId="15" fillId="0" borderId="14" xfId="6" applyNumberFormat="1" applyFont="1" applyFill="1" applyBorder="1"/>
    <xf numFmtId="166" fontId="15" fillId="0" borderId="8" xfId="6" applyNumberFormat="1" applyFont="1" applyFill="1" applyBorder="1"/>
    <xf numFmtId="164" fontId="6" fillId="0" borderId="5" xfId="1" applyNumberFormat="1" applyFont="1" applyFill="1" applyBorder="1"/>
    <xf numFmtId="164" fontId="17" fillId="0" borderId="8" xfId="6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right"/>
    </xf>
    <xf numFmtId="0" fontId="46" fillId="0" borderId="8" xfId="0" applyFont="1" applyFill="1" applyBorder="1" applyAlignment="1">
      <alignment horizontal="left" wrapText="1" indent="2"/>
    </xf>
    <xf numFmtId="164" fontId="8" fillId="0" borderId="8" xfId="7" applyNumberFormat="1" applyFont="1" applyFill="1" applyBorder="1"/>
    <xf numFmtId="164" fontId="6" fillId="0" borderId="8" xfId="7" applyNumberFormat="1" applyFont="1" applyFill="1" applyBorder="1"/>
    <xf numFmtId="168" fontId="6" fillId="0" borderId="9" xfId="1" applyNumberFormat="1" applyFont="1" applyFill="1" applyBorder="1" applyAlignment="1">
      <alignment horizontal="center"/>
    </xf>
    <xf numFmtId="168" fontId="6" fillId="0" borderId="8" xfId="2" applyNumberFormat="1" applyFont="1" applyFill="1" applyBorder="1" applyAlignment="1">
      <alignment horizontal="center"/>
    </xf>
    <xf numFmtId="164" fontId="6" fillId="0" borderId="9" xfId="7" applyNumberFormat="1" applyFont="1" applyFill="1" applyBorder="1"/>
    <xf numFmtId="173" fontId="8" fillId="0" borderId="13" xfId="2" applyNumberFormat="1" applyFont="1" applyFill="1" applyBorder="1" applyAlignment="1">
      <alignment horizontal="center"/>
    </xf>
    <xf numFmtId="168" fontId="8" fillId="0" borderId="13" xfId="1" applyNumberFormat="1" applyFont="1" applyFill="1" applyBorder="1" applyAlignment="1">
      <alignment horizontal="center"/>
    </xf>
    <xf numFmtId="168" fontId="10" fillId="0" borderId="13" xfId="1" applyNumberFormat="1" applyFont="1" applyFill="1" applyBorder="1" applyAlignment="1">
      <alignment horizontal="center"/>
    </xf>
    <xf numFmtId="0" fontId="3" fillId="0" borderId="31" xfId="2" applyFont="1" applyFill="1" applyBorder="1" applyAlignment="1">
      <alignment horizontal="left" indent="2"/>
    </xf>
    <xf numFmtId="164" fontId="8" fillId="0" borderId="5" xfId="7" applyNumberFormat="1" applyFont="1" applyFill="1" applyBorder="1"/>
    <xf numFmtId="168" fontId="8" fillId="0" borderId="5" xfId="1" applyNumberFormat="1" applyFont="1" applyFill="1" applyBorder="1" applyAlignment="1">
      <alignment horizontal="center"/>
    </xf>
    <xf numFmtId="173" fontId="8" fillId="0" borderId="5" xfId="2" applyNumberFormat="1" applyFont="1" applyFill="1" applyBorder="1" applyAlignment="1">
      <alignment horizontal="center"/>
    </xf>
    <xf numFmtId="168" fontId="10" fillId="0" borderId="5" xfId="1" applyNumberFormat="1" applyFont="1" applyFill="1" applyBorder="1" applyAlignment="1">
      <alignment horizontal="center"/>
    </xf>
    <xf numFmtId="168" fontId="8" fillId="0" borderId="4" xfId="1" applyNumberFormat="1" applyFont="1" applyFill="1" applyBorder="1"/>
    <xf numFmtId="0" fontId="12" fillId="0" borderId="8" xfId="0" applyFont="1" applyFill="1" applyBorder="1" applyAlignment="1">
      <alignment horizontal="left"/>
    </xf>
    <xf numFmtId="165" fontId="6" fillId="0" borderId="0" xfId="1" applyFont="1" applyFill="1"/>
    <xf numFmtId="0" fontId="8" fillId="0" borderId="20" xfId="2" applyFont="1" applyFill="1" applyBorder="1"/>
    <xf numFmtId="164" fontId="8" fillId="0" borderId="0" xfId="2" applyNumberFormat="1" applyFont="1" applyFill="1"/>
    <xf numFmtId="0" fontId="19" fillId="0" borderId="13" xfId="2" applyFont="1" applyFill="1" applyBorder="1" applyAlignment="1">
      <alignment wrapText="1"/>
    </xf>
    <xf numFmtId="164" fontId="6" fillId="0" borderId="5" xfId="2" applyNumberFormat="1" applyFont="1" applyFill="1" applyBorder="1" applyAlignment="1">
      <alignment horizontal="center"/>
    </xf>
    <xf numFmtId="0" fontId="8" fillId="0" borderId="21" xfId="2" applyFont="1" applyFill="1" applyBorder="1" applyAlignment="1">
      <alignment horizontal="right"/>
    </xf>
    <xf numFmtId="0" fontId="4" fillId="0" borderId="0" xfId="2" applyFont="1" applyFill="1" applyAlignment="1">
      <alignment wrapText="1"/>
    </xf>
    <xf numFmtId="0" fontId="8" fillId="0" borderId="21" xfId="2" applyFont="1" applyFill="1" applyBorder="1" applyAlignment="1">
      <alignment horizontal="left"/>
    </xf>
    <xf numFmtId="168" fontId="6" fillId="0" borderId="21" xfId="1" applyNumberFormat="1" applyFont="1" applyFill="1" applyBorder="1"/>
    <xf numFmtId="0" fontId="35" fillId="0" borderId="13" xfId="2" applyFont="1" applyFill="1" applyBorder="1" applyAlignment="1">
      <alignment horizontal="left" wrapText="1" indent="1"/>
    </xf>
    <xf numFmtId="168" fontId="6" fillId="0" borderId="9" xfId="1" applyNumberFormat="1" applyFont="1" applyFill="1" applyBorder="1"/>
    <xf numFmtId="168" fontId="13" fillId="0" borderId="13" xfId="1" applyNumberFormat="1" applyFont="1" applyFill="1" applyBorder="1"/>
    <xf numFmtId="3" fontId="8" fillId="0" borderId="27" xfId="2" applyNumberFormat="1" applyFont="1" applyFill="1" applyBorder="1" applyAlignment="1">
      <alignment horizontal="center"/>
    </xf>
    <xf numFmtId="3" fontId="6" fillId="0" borderId="27" xfId="2" applyNumberFormat="1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13" xfId="2" applyFont="1" applyFill="1" applyBorder="1" applyAlignment="1">
      <alignment wrapText="1"/>
    </xf>
    <xf numFmtId="0" fontId="6" fillId="0" borderId="13" xfId="2" applyFont="1" applyFill="1" applyBorder="1"/>
    <xf numFmtId="174" fontId="6" fillId="0" borderId="8" xfId="10" applyNumberFormat="1" applyFont="1" applyFill="1" applyBorder="1" applyAlignment="1">
      <alignment horizontal="center"/>
    </xf>
    <xf numFmtId="166" fontId="6" fillId="0" borderId="8" xfId="2" applyNumberFormat="1" applyFont="1" applyFill="1" applyBorder="1" applyAlignment="1">
      <alignment horizontal="center"/>
    </xf>
    <xf numFmtId="0" fontId="35" fillId="0" borderId="8" xfId="0" applyFont="1" applyFill="1" applyBorder="1" applyAlignment="1">
      <alignment horizontal="left" indent="1"/>
    </xf>
    <xf numFmtId="174" fontId="6" fillId="0" borderId="8" xfId="10" applyNumberFormat="1" applyFont="1" applyFill="1" applyBorder="1"/>
    <xf numFmtId="168" fontId="8" fillId="0" borderId="9" xfId="1" applyNumberFormat="1" applyFont="1" applyFill="1" applyBorder="1"/>
    <xf numFmtId="0" fontId="6" fillId="0" borderId="9" xfId="2" applyFont="1" applyFill="1" applyBorder="1" applyAlignment="1">
      <alignment horizontal="center"/>
    </xf>
    <xf numFmtId="174" fontId="6" fillId="0" borderId="8" xfId="11" applyNumberFormat="1" applyFont="1" applyFill="1" applyBorder="1" applyAlignment="1">
      <alignment horizontal="center"/>
    </xf>
    <xf numFmtId="174" fontId="8" fillId="0" borderId="8" xfId="11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left" vertical="justify" indent="1"/>
    </xf>
    <xf numFmtId="0" fontId="14" fillId="0" borderId="37" xfId="2" applyFont="1" applyFill="1" applyBorder="1" applyAlignment="1">
      <alignment wrapText="1"/>
    </xf>
    <xf numFmtId="0" fontId="14" fillId="0" borderId="40" xfId="2" applyFont="1" applyFill="1" applyBorder="1" applyAlignment="1">
      <alignment wrapText="1"/>
    </xf>
    <xf numFmtId="164" fontId="13" fillId="0" borderId="9" xfId="2" applyNumberFormat="1" applyFont="1" applyFill="1" applyBorder="1" applyAlignment="1">
      <alignment horizontal="center"/>
    </xf>
    <xf numFmtId="0" fontId="13" fillId="0" borderId="9" xfId="2" applyFont="1" applyFill="1" applyBorder="1"/>
    <xf numFmtId="168" fontId="12" fillId="0" borderId="9" xfId="1" applyNumberFormat="1" applyFont="1" applyFill="1" applyBorder="1" applyAlignment="1">
      <alignment horizontal="center"/>
    </xf>
    <xf numFmtId="168" fontId="6" fillId="0" borderId="15" xfId="1" applyNumberFormat="1" applyFont="1" applyFill="1" applyBorder="1"/>
    <xf numFmtId="173" fontId="10" fillId="0" borderId="8" xfId="2" applyNumberFormat="1" applyFont="1" applyFill="1" applyBorder="1" applyAlignment="1">
      <alignment horizontal="center"/>
    </xf>
    <xf numFmtId="0" fontId="10" fillId="0" borderId="8" xfId="2" applyFont="1" applyFill="1" applyBorder="1" applyAlignment="1">
      <alignment horizontal="center"/>
    </xf>
    <xf numFmtId="164" fontId="6" fillId="0" borderId="9" xfId="2" applyNumberFormat="1" applyFont="1" applyFill="1" applyBorder="1" applyAlignment="1">
      <alignment horizontal="center"/>
    </xf>
    <xf numFmtId="169" fontId="18" fillId="0" borderId="8" xfId="2" applyNumberFormat="1" applyFont="1" applyFill="1" applyBorder="1"/>
    <xf numFmtId="176" fontId="8" fillId="0" borderId="8" xfId="1" applyNumberFormat="1" applyFont="1" applyFill="1" applyBorder="1"/>
    <xf numFmtId="2" fontId="45" fillId="0" borderId="8" xfId="0" applyNumberFormat="1" applyFont="1" applyFill="1" applyBorder="1" applyAlignment="1">
      <alignment horizontal="left" wrapText="1" indent="2"/>
    </xf>
    <xf numFmtId="0" fontId="15" fillId="0" borderId="1" xfId="2" applyFont="1" applyFill="1" applyBorder="1" applyAlignment="1">
      <alignment horizontal="left" wrapText="1"/>
    </xf>
    <xf numFmtId="167" fontId="25" fillId="0" borderId="8" xfId="1" applyNumberFormat="1" applyFont="1" applyFill="1" applyBorder="1" applyAlignment="1">
      <alignment horizontal="center"/>
    </xf>
    <xf numFmtId="3" fontId="41" fillId="0" borderId="8" xfId="2" applyNumberFormat="1" applyFont="1" applyFill="1" applyBorder="1" applyAlignment="1">
      <alignment horizontal="right"/>
    </xf>
    <xf numFmtId="3" fontId="41" fillId="0" borderId="9" xfId="2" applyNumberFormat="1" applyFont="1" applyFill="1" applyBorder="1" applyAlignment="1">
      <alignment horizontal="right"/>
    </xf>
    <xf numFmtId="0" fontId="19" fillId="0" borderId="21" xfId="2" applyFont="1" applyFill="1" applyBorder="1" applyAlignment="1">
      <alignment wrapText="1"/>
    </xf>
    <xf numFmtId="0" fontId="19" fillId="0" borderId="5" xfId="2" applyFont="1" applyFill="1" applyBorder="1" applyAlignment="1">
      <alignment horizontal="left"/>
    </xf>
    <xf numFmtId="3" fontId="23" fillId="0" borderId="8" xfId="2" applyNumberFormat="1" applyFont="1" applyFill="1" applyBorder="1"/>
    <xf numFmtId="0" fontId="15" fillId="0" borderId="13" xfId="2" applyFont="1" applyFill="1" applyBorder="1" applyAlignment="1">
      <alignment horizontal="left"/>
    </xf>
    <xf numFmtId="3" fontId="14" fillId="0" borderId="13" xfId="1" applyNumberFormat="1" applyFont="1" applyFill="1" applyBorder="1"/>
    <xf numFmtId="0" fontId="8" fillId="0" borderId="21" xfId="2" applyFont="1" applyFill="1" applyBorder="1"/>
    <xf numFmtId="0" fontId="6" fillId="0" borderId="5" xfId="2" applyFont="1" applyFill="1" applyBorder="1" applyAlignment="1">
      <alignment horizontal="left" wrapText="1" indent="3"/>
    </xf>
    <xf numFmtId="0" fontId="8" fillId="0" borderId="8" xfId="2" applyFont="1" applyFill="1" applyBorder="1" applyAlignment="1">
      <alignment horizontal="left" wrapText="1"/>
    </xf>
    <xf numFmtId="0" fontId="8" fillId="0" borderId="13" xfId="2" applyFont="1" applyFill="1" applyBorder="1" applyAlignment="1">
      <alignment horizontal="left"/>
    </xf>
    <xf numFmtId="164" fontId="6" fillId="0" borderId="1" xfId="2" applyNumberFormat="1" applyFont="1" applyFill="1" applyBorder="1" applyAlignment="1">
      <alignment horizontal="center"/>
    </xf>
    <xf numFmtId="0" fontId="19" fillId="0" borderId="7" xfId="2" applyFont="1" applyFill="1" applyBorder="1"/>
    <xf numFmtId="164" fontId="15" fillId="0" borderId="7" xfId="2" applyNumberFormat="1" applyFont="1" applyFill="1" applyBorder="1"/>
    <xf numFmtId="0" fontId="19" fillId="0" borderId="5" xfId="2" applyFont="1" applyFill="1" applyBorder="1"/>
    <xf numFmtId="172" fontId="15" fillId="0" borderId="14" xfId="6" applyNumberFormat="1" applyFont="1" applyFill="1" applyBorder="1"/>
    <xf numFmtId="172" fontId="15" fillId="0" borderId="5" xfId="6" applyNumberFormat="1" applyFont="1" applyFill="1" applyBorder="1" applyAlignment="1">
      <alignment horizontal="left"/>
    </xf>
    <xf numFmtId="0" fontId="15" fillId="0" borderId="1" xfId="2" applyFont="1" applyFill="1" applyBorder="1"/>
    <xf numFmtId="0" fontId="12" fillId="0" borderId="13" xfId="2" applyFont="1" applyFill="1" applyBorder="1" applyAlignment="1">
      <alignment wrapText="1"/>
    </xf>
    <xf numFmtId="0" fontId="14" fillId="0" borderId="0" xfId="2" applyFont="1" applyFill="1" applyBorder="1" applyAlignment="1">
      <alignment horizontal="right" vertical="top" wrapText="1"/>
    </xf>
    <xf numFmtId="0" fontId="14" fillId="0" borderId="0" xfId="2" applyFont="1" applyFill="1" applyBorder="1" applyAlignment="1">
      <alignment horizontal="right" wrapText="1"/>
    </xf>
    <xf numFmtId="0" fontId="19" fillId="0" borderId="0" xfId="2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3" fontId="7" fillId="0" borderId="25" xfId="2" applyNumberFormat="1" applyFont="1" applyFill="1" applyBorder="1" applyAlignment="1">
      <alignment horizontal="center" vertical="center" wrapText="1"/>
    </xf>
    <xf numFmtId="3" fontId="7" fillId="0" borderId="23" xfId="2" applyNumberFormat="1" applyFont="1" applyFill="1" applyBorder="1" applyAlignment="1">
      <alignment horizontal="center" vertical="center" wrapText="1"/>
    </xf>
    <xf numFmtId="3" fontId="7" fillId="0" borderId="26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2" fillId="0" borderId="5" xfId="2" applyFont="1" applyFill="1" applyBorder="1" applyAlignment="1">
      <alignment horizontal="center" vertical="center" wrapText="1"/>
    </xf>
    <xf numFmtId="0" fontId="32" fillId="0" borderId="6" xfId="2" applyFont="1" applyFill="1" applyBorder="1" applyAlignment="1">
      <alignment horizontal="center" vertical="center" wrapText="1"/>
    </xf>
    <xf numFmtId="0" fontId="19" fillId="0" borderId="0" xfId="2" applyFont="1" applyFill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36" xfId="0" applyFill="1" applyBorder="1" applyAlignment="1">
      <alignment horizontal="center" vertical="justify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14" fillId="0" borderId="35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center" wrapText="1"/>
    </xf>
    <xf numFmtId="0" fontId="13" fillId="0" borderId="42" xfId="2" applyFont="1" applyFill="1" applyBorder="1" applyAlignment="1">
      <alignment horizontal="center" vertical="center" wrapText="1"/>
    </xf>
    <xf numFmtId="0" fontId="19" fillId="0" borderId="36" xfId="2" applyFont="1" applyFill="1" applyBorder="1" applyAlignment="1">
      <alignment horizontal="center" vertical="justify" wrapText="1"/>
    </xf>
    <xf numFmtId="0" fontId="19" fillId="0" borderId="33" xfId="2" applyFont="1" applyFill="1" applyBorder="1" applyAlignment="1">
      <alignment horizontal="left" vertical="top" wrapText="1"/>
    </xf>
    <xf numFmtId="0" fontId="19" fillId="0" borderId="32" xfId="2" applyFont="1" applyFill="1" applyBorder="1" applyAlignment="1">
      <alignment horizontal="left" vertical="top" wrapText="1"/>
    </xf>
    <xf numFmtId="0" fontId="14" fillId="0" borderId="20" xfId="2" applyFont="1" applyFill="1" applyBorder="1" applyAlignment="1">
      <alignment horizontal="center" wrapText="1"/>
    </xf>
    <xf numFmtId="0" fontId="7" fillId="0" borderId="25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0" fontId="7" fillId="0" borderId="26" xfId="2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36" xfId="0" applyFill="1" applyBorder="1" applyAlignment="1">
      <alignment vertical="center" wrapText="1"/>
    </xf>
    <xf numFmtId="0" fontId="19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8" fillId="0" borderId="21" xfId="2" applyFont="1" applyFill="1" applyBorder="1" applyAlignment="1">
      <alignment wrapText="1"/>
    </xf>
    <xf numFmtId="0" fontId="8" fillId="0" borderId="21" xfId="2" applyFont="1" applyFill="1" applyBorder="1" applyAlignment="1">
      <alignment horizontal="left" wrapText="1"/>
    </xf>
    <xf numFmtId="0" fontId="29" fillId="0" borderId="21" xfId="2" applyFont="1" applyFill="1" applyBorder="1" applyAlignment="1">
      <alignment wrapText="1"/>
    </xf>
    <xf numFmtId="0" fontId="8" fillId="0" borderId="13" xfId="2" applyFont="1" applyFill="1" applyBorder="1" applyAlignment="1">
      <alignment horizontal="left" vertical="top" wrapText="1" indent="2"/>
    </xf>
    <xf numFmtId="0" fontId="19" fillId="0" borderId="21" xfId="2" applyFont="1" applyFill="1" applyBorder="1"/>
    <xf numFmtId="0" fontId="15" fillId="0" borderId="5" xfId="2" applyFont="1" applyFill="1" applyBorder="1" applyAlignment="1">
      <alignment wrapText="1"/>
    </xf>
    <xf numFmtId="0" fontId="14" fillId="0" borderId="5" xfId="2" applyFont="1" applyFill="1" applyBorder="1" applyAlignment="1">
      <alignment horizontal="center"/>
    </xf>
    <xf numFmtId="3" fontId="14" fillId="0" borderId="21" xfId="2" applyNumberFormat="1" applyFont="1" applyFill="1" applyBorder="1" applyAlignment="1">
      <alignment horizontal="center"/>
    </xf>
    <xf numFmtId="168" fontId="13" fillId="0" borderId="21" xfId="1" applyNumberFormat="1" applyFont="1" applyFill="1" applyBorder="1"/>
    <xf numFmtId="0" fontId="15" fillId="0" borderId="8" xfId="2" applyFont="1" applyFill="1" applyBorder="1"/>
    <xf numFmtId="0" fontId="15" fillId="0" borderId="8" xfId="2" applyFont="1" applyFill="1" applyBorder="1" applyAlignment="1">
      <alignment horizontal="left" wrapText="1"/>
    </xf>
    <xf numFmtId="0" fontId="15" fillId="0" borderId="5" xfId="2" applyFont="1" applyFill="1" applyBorder="1" applyAlignment="1">
      <alignment horizontal="left" wrapText="1"/>
    </xf>
    <xf numFmtId="0" fontId="19" fillId="0" borderId="8" xfId="2" applyFont="1" applyFill="1" applyBorder="1" applyAlignment="1">
      <alignment wrapText="1"/>
    </xf>
    <xf numFmtId="0" fontId="17" fillId="0" borderId="8" xfId="2" applyFont="1" applyFill="1" applyBorder="1" applyAlignment="1">
      <alignment horizontal="left" wrapText="1" indent="1" shrinkToFit="1"/>
    </xf>
  </cellXfs>
  <cellStyles count="45">
    <cellStyle name="Excel Built-in Normal" xfId="15"/>
    <cellStyle name="Обычный" xfId="0" builtinId="0"/>
    <cellStyle name="Обычный 2" xfId="4"/>
    <cellStyle name="Обычный 2 2" xfId="16"/>
    <cellStyle name="Обычный 2 3" xfId="17"/>
    <cellStyle name="Обычный 2_Fin край 2012" xfId="18"/>
    <cellStyle name="Обычный 3" xfId="19"/>
    <cellStyle name="Обычный 3 2" xfId="20"/>
    <cellStyle name="Обычный 3 2 2" xfId="21"/>
    <cellStyle name="Обычный 3 2 3" xfId="22"/>
    <cellStyle name="Обычный 3 3" xfId="23"/>
    <cellStyle name="Обычный 3 3 2" xfId="24"/>
    <cellStyle name="Обычный 3 4" xfId="25"/>
    <cellStyle name="Обычный 3 5" xfId="26"/>
    <cellStyle name="Обычный 3 6" xfId="27"/>
    <cellStyle name="Обычный 3 6 2" xfId="28"/>
    <cellStyle name="Обычный 3 7" xfId="29"/>
    <cellStyle name="Обычный 3 8" xfId="30"/>
    <cellStyle name="Обычный 4" xfId="31"/>
    <cellStyle name="Обычный 4 2" xfId="32"/>
    <cellStyle name="Обычный 5" xfId="33"/>
    <cellStyle name="Обычный 6" xfId="34"/>
    <cellStyle name="Обычный 7" xfId="35"/>
    <cellStyle name="Обычный Лена" xfId="12"/>
    <cellStyle name="Обычный_Таблицы Мун.заказ Стационар" xfId="2"/>
    <cellStyle name="Примечание 2" xfId="36"/>
    <cellStyle name="Процентный 2" xfId="13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9"/>
    <cellStyle name="Финансовый 10" xfId="14"/>
    <cellStyle name="Финансовый 2" xfId="5"/>
    <cellStyle name="Финансовый 2 2" xfId="37"/>
    <cellStyle name="Финансовый 2 3" xfId="38"/>
    <cellStyle name="Финансовый 3" xfId="39"/>
    <cellStyle name="Финансовый 3 2" xfId="40"/>
    <cellStyle name="Финансовый 3 2 2" xfId="41"/>
    <cellStyle name="Финансовый 3 3" xfId="42"/>
    <cellStyle name="Финансовый 3 4" xfId="43"/>
    <cellStyle name="Финансовый 4" xfId="44"/>
    <cellStyle name="Финансовый_Таблицы Мун.заказ Стационар" xfId="8"/>
    <cellStyle name="Финансовый_Таблицы Мун.заказ Стационар 4" xfId="10"/>
    <cellStyle name="Финансовый_Таблицы Мун.заказ Стационар 5" xfId="11"/>
  </cellStyles>
  <dxfs count="0"/>
  <tableStyles count="0" defaultTableStyle="TableStyleMedium9" defaultPivotStyle="PivotStyleLight16"/>
  <colors>
    <mruColors>
      <color rgb="FFFF9999"/>
      <color rgb="FF00CCFF"/>
      <color rgb="FFFFCC00"/>
      <color rgb="FFFF66FF"/>
      <color rgb="FFFF9933"/>
      <color rgb="FF99FF33"/>
      <color rgb="FFCC66FF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207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207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258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207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207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349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349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349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349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207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207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258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258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349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349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568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207</xdr:row>
      <xdr:rowOff>188357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207</xdr:row>
      <xdr:rowOff>188357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207</xdr:row>
      <xdr:rowOff>188357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1199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95</xdr:row>
      <xdr:rowOff>152400</xdr:rowOff>
    </xdr:from>
    <xdr:to>
      <xdr:col>0</xdr:col>
      <xdr:colOff>104775</xdr:colOff>
      <xdr:row>258</xdr:row>
      <xdr:rowOff>168804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0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0" y="47720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82" name="Text Box 9"/>
        <xdr:cNvSpPr txBox="1">
          <a:spLocks noChangeArrowheads="1"/>
        </xdr:cNvSpPr>
      </xdr:nvSpPr>
      <xdr:spPr bwMode="auto">
        <a:xfrm>
          <a:off x="0" y="47720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1304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136712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153101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189097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76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104775</xdr:colOff>
      <xdr:row>76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68"/>
  <sheetViews>
    <sheetView zoomScale="90" zoomScaleNormal="90" zoomScaleSheetLayoutView="75" workbookViewId="0">
      <pane xSplit="2" ySplit="8" topLeftCell="C274" activePane="bottomRight" state="frozen"/>
      <selection activeCell="D117" sqref="D117"/>
      <selection pane="topRight" activeCell="D117" sqref="D117"/>
      <selection pane="bottomLeft" activeCell="D117" sqref="D117"/>
      <selection pane="bottomRight" sqref="A1:XFD1048576"/>
    </sheetView>
  </sheetViews>
  <sheetFormatPr defaultColWidth="9.140625" defaultRowHeight="15" x14ac:dyDescent="0.25"/>
  <cols>
    <col min="1" max="1" width="3.5703125" style="6" hidden="1" customWidth="1"/>
    <col min="2" max="2" width="45" style="6" customWidth="1"/>
    <col min="3" max="3" width="12" style="6" hidden="1" customWidth="1"/>
    <col min="4" max="4" width="13.85546875" style="362" customWidth="1"/>
    <col min="5" max="5" width="10.7109375" style="6" customWidth="1"/>
    <col min="6" max="6" width="9.28515625" style="6" customWidth="1"/>
    <col min="7" max="7" width="15.28515625" style="6" customWidth="1"/>
    <col min="8" max="8" width="9.140625" style="6" customWidth="1"/>
    <col min="9" max="9" width="11.7109375" style="6" customWidth="1"/>
    <col min="10" max="10" width="9.140625" style="6"/>
    <col min="11" max="11" width="10.5703125" style="6" bestFit="1" customWidth="1"/>
    <col min="12" max="16384" width="9.140625" style="6"/>
  </cols>
  <sheetData>
    <row r="1" spans="1:9" ht="15.75" customHeight="1" x14ac:dyDescent="0.25">
      <c r="D1" s="237"/>
      <c r="E1" s="237"/>
      <c r="F1" s="680" t="s">
        <v>319</v>
      </c>
      <c r="G1" s="680"/>
    </row>
    <row r="2" spans="1:9" ht="30.75" customHeight="1" x14ac:dyDescent="0.25">
      <c r="D2" s="237"/>
      <c r="E2" s="681" t="s">
        <v>336</v>
      </c>
      <c r="F2" s="681"/>
      <c r="G2" s="681"/>
    </row>
    <row r="3" spans="1:9" s="7" customFormat="1" ht="15" customHeight="1" x14ac:dyDescent="0.25">
      <c r="B3" s="682" t="s">
        <v>293</v>
      </c>
      <c r="C3" s="683"/>
      <c r="D3" s="683"/>
      <c r="E3" s="683"/>
      <c r="F3" s="683"/>
      <c r="G3" s="683"/>
    </row>
    <row r="4" spans="1:9" s="7" customFormat="1" ht="31.5" customHeight="1" thickBot="1" x14ac:dyDescent="0.3">
      <c r="B4" s="683"/>
      <c r="C4" s="683"/>
      <c r="D4" s="683"/>
      <c r="E4" s="683"/>
      <c r="F4" s="683"/>
      <c r="G4" s="683"/>
    </row>
    <row r="5" spans="1:9" ht="21" customHeight="1" x14ac:dyDescent="0.3">
      <c r="B5" s="8" t="s">
        <v>175</v>
      </c>
      <c r="C5" s="687" t="s">
        <v>1</v>
      </c>
      <c r="D5" s="684" t="s">
        <v>256</v>
      </c>
      <c r="E5" s="693" t="s">
        <v>0</v>
      </c>
      <c r="F5" s="687" t="s">
        <v>2</v>
      </c>
      <c r="G5" s="690" t="s">
        <v>204</v>
      </c>
    </row>
    <row r="6" spans="1:9" ht="15.75" customHeight="1" x14ac:dyDescent="0.3">
      <c r="B6" s="9"/>
      <c r="C6" s="688"/>
      <c r="D6" s="685"/>
      <c r="E6" s="694"/>
      <c r="F6" s="688"/>
      <c r="G6" s="691"/>
    </row>
    <row r="7" spans="1:9" ht="38.25" customHeight="1" thickBot="1" x14ac:dyDescent="0.3">
      <c r="B7" s="10" t="s">
        <v>3</v>
      </c>
      <c r="C7" s="689"/>
      <c r="D7" s="686"/>
      <c r="E7" s="695"/>
      <c r="F7" s="689"/>
      <c r="G7" s="692"/>
      <c r="H7" s="237"/>
      <c r="I7" s="237"/>
    </row>
    <row r="8" spans="1:9" s="354" customFormat="1" ht="15.75" thickBot="1" x14ac:dyDescent="0.3">
      <c r="B8" s="11">
        <v>1</v>
      </c>
      <c r="C8" s="12">
        <v>2</v>
      </c>
      <c r="D8" s="355">
        <v>3</v>
      </c>
      <c r="E8" s="238">
        <v>4</v>
      </c>
      <c r="F8" s="238">
        <v>5</v>
      </c>
      <c r="G8" s="238">
        <v>6</v>
      </c>
    </row>
    <row r="9" spans="1:9" ht="33" customHeight="1" x14ac:dyDescent="0.25">
      <c r="A9" s="6">
        <v>1</v>
      </c>
      <c r="B9" s="721" t="s">
        <v>80</v>
      </c>
      <c r="C9" s="722"/>
      <c r="D9" s="723"/>
      <c r="E9" s="724"/>
      <c r="F9" s="724"/>
      <c r="G9" s="724"/>
    </row>
    <row r="10" spans="1:9" x14ac:dyDescent="0.25">
      <c r="A10" s="6">
        <v>1</v>
      </c>
      <c r="B10" s="356" t="s">
        <v>4</v>
      </c>
      <c r="C10" s="357"/>
      <c r="D10" s="358"/>
      <c r="E10" s="13"/>
      <c r="F10" s="13"/>
      <c r="G10" s="13"/>
    </row>
    <row r="11" spans="1:9" x14ac:dyDescent="0.25">
      <c r="A11" s="6">
        <v>1</v>
      </c>
      <c r="B11" s="359" t="s">
        <v>44</v>
      </c>
      <c r="C11" s="5">
        <v>340</v>
      </c>
      <c r="D11" s="13">
        <v>847</v>
      </c>
      <c r="E11" s="14">
        <v>14</v>
      </c>
      <c r="F11" s="3">
        <f t="shared" ref="F11:F35" si="0">ROUND(G11/C11,0)</f>
        <v>35</v>
      </c>
      <c r="G11" s="13">
        <f t="shared" ref="G11:G35" si="1">ROUND(D11*E11,0)</f>
        <v>11858</v>
      </c>
      <c r="I11" s="360"/>
    </row>
    <row r="12" spans="1:9" x14ac:dyDescent="0.25">
      <c r="A12" s="6">
        <v>1</v>
      </c>
      <c r="B12" s="359" t="s">
        <v>22</v>
      </c>
      <c r="C12" s="5">
        <v>340</v>
      </c>
      <c r="D12" s="13">
        <f>1338</f>
        <v>1338</v>
      </c>
      <c r="E12" s="14">
        <v>14.5</v>
      </c>
      <c r="F12" s="3">
        <f t="shared" si="0"/>
        <v>57</v>
      </c>
      <c r="G12" s="13">
        <f t="shared" si="1"/>
        <v>19401</v>
      </c>
      <c r="I12" s="360"/>
    </row>
    <row r="13" spans="1:9" x14ac:dyDescent="0.25">
      <c r="A13" s="6">
        <v>1</v>
      </c>
      <c r="B13" s="359" t="s">
        <v>34</v>
      </c>
      <c r="C13" s="5">
        <v>340</v>
      </c>
      <c r="D13" s="13">
        <v>1066</v>
      </c>
      <c r="E13" s="14">
        <v>14</v>
      </c>
      <c r="F13" s="3">
        <f t="shared" si="0"/>
        <v>44</v>
      </c>
      <c r="G13" s="13">
        <f t="shared" si="1"/>
        <v>14924</v>
      </c>
      <c r="I13" s="360"/>
    </row>
    <row r="14" spans="1:9" x14ac:dyDescent="0.25">
      <c r="A14" s="6">
        <v>1</v>
      </c>
      <c r="B14" s="359" t="s">
        <v>35</v>
      </c>
      <c r="C14" s="5">
        <v>340</v>
      </c>
      <c r="D14" s="13">
        <v>940</v>
      </c>
      <c r="E14" s="14">
        <v>11.5</v>
      </c>
      <c r="F14" s="3">
        <f t="shared" si="0"/>
        <v>32</v>
      </c>
      <c r="G14" s="13">
        <f t="shared" si="1"/>
        <v>10810</v>
      </c>
      <c r="I14" s="360"/>
    </row>
    <row r="15" spans="1:9" x14ac:dyDescent="0.25">
      <c r="A15" s="6">
        <v>1</v>
      </c>
      <c r="B15" s="359" t="s">
        <v>59</v>
      </c>
      <c r="C15" s="5">
        <v>340</v>
      </c>
      <c r="D15" s="13">
        <v>81</v>
      </c>
      <c r="E15" s="14">
        <v>16.5</v>
      </c>
      <c r="F15" s="3">
        <f t="shared" si="0"/>
        <v>4</v>
      </c>
      <c r="G15" s="13">
        <f t="shared" si="1"/>
        <v>1337</v>
      </c>
      <c r="I15" s="360"/>
    </row>
    <row r="16" spans="1:9" x14ac:dyDescent="0.25">
      <c r="A16" s="6">
        <v>1</v>
      </c>
      <c r="B16" s="359" t="s">
        <v>11</v>
      </c>
      <c r="C16" s="5">
        <v>340</v>
      </c>
      <c r="D16" s="13">
        <v>1315</v>
      </c>
      <c r="E16" s="361">
        <v>10.5</v>
      </c>
      <c r="F16" s="3">
        <f t="shared" si="0"/>
        <v>41</v>
      </c>
      <c r="G16" s="13">
        <f t="shared" si="1"/>
        <v>13808</v>
      </c>
      <c r="I16" s="360"/>
    </row>
    <row r="17" spans="1:9" x14ac:dyDescent="0.25">
      <c r="A17" s="6">
        <v>1</v>
      </c>
      <c r="B17" s="359" t="s">
        <v>60</v>
      </c>
      <c r="C17" s="5">
        <v>340</v>
      </c>
      <c r="D17" s="13">
        <f>596-29</f>
        <v>567</v>
      </c>
      <c r="E17" s="14">
        <v>15</v>
      </c>
      <c r="F17" s="3">
        <f t="shared" si="0"/>
        <v>25</v>
      </c>
      <c r="G17" s="13">
        <f t="shared" si="1"/>
        <v>8505</v>
      </c>
      <c r="I17" s="360"/>
    </row>
    <row r="18" spans="1:9" x14ac:dyDescent="0.25">
      <c r="A18" s="6">
        <v>1</v>
      </c>
      <c r="B18" s="359" t="s">
        <v>61</v>
      </c>
      <c r="C18" s="5">
        <v>340</v>
      </c>
      <c r="D18" s="13">
        <v>516</v>
      </c>
      <c r="E18" s="14">
        <v>12</v>
      </c>
      <c r="F18" s="3">
        <f t="shared" si="0"/>
        <v>18</v>
      </c>
      <c r="G18" s="13">
        <f t="shared" si="1"/>
        <v>6192</v>
      </c>
      <c r="H18" s="362"/>
      <c r="I18" s="360"/>
    </row>
    <row r="19" spans="1:9" x14ac:dyDescent="0.25">
      <c r="A19" s="6">
        <v>1</v>
      </c>
      <c r="B19" s="359" t="s">
        <v>31</v>
      </c>
      <c r="C19" s="5">
        <v>340</v>
      </c>
      <c r="D19" s="13">
        <v>852</v>
      </c>
      <c r="E19" s="14">
        <v>13.5</v>
      </c>
      <c r="F19" s="3">
        <f t="shared" si="0"/>
        <v>34</v>
      </c>
      <c r="G19" s="13">
        <f t="shared" si="1"/>
        <v>11502</v>
      </c>
      <c r="I19" s="360"/>
    </row>
    <row r="20" spans="1:9" x14ac:dyDescent="0.25">
      <c r="A20" s="6">
        <v>1</v>
      </c>
      <c r="B20" s="359" t="s">
        <v>58</v>
      </c>
      <c r="C20" s="5">
        <v>340</v>
      </c>
      <c r="D20" s="13">
        <f>463-21</f>
        <v>442</v>
      </c>
      <c r="E20" s="14">
        <v>20</v>
      </c>
      <c r="F20" s="3">
        <f t="shared" si="0"/>
        <v>26</v>
      </c>
      <c r="G20" s="13">
        <f t="shared" si="1"/>
        <v>8840</v>
      </c>
      <c r="I20" s="360"/>
    </row>
    <row r="21" spans="1:9" x14ac:dyDescent="0.25">
      <c r="A21" s="6">
        <v>1</v>
      </c>
      <c r="B21" s="359" t="s">
        <v>62</v>
      </c>
      <c r="C21" s="5">
        <v>340</v>
      </c>
      <c r="D21" s="13">
        <f>645-27</f>
        <v>618</v>
      </c>
      <c r="E21" s="14">
        <v>16.5</v>
      </c>
      <c r="F21" s="3">
        <f t="shared" si="0"/>
        <v>30</v>
      </c>
      <c r="G21" s="13">
        <f t="shared" si="1"/>
        <v>10197</v>
      </c>
      <c r="I21" s="360"/>
    </row>
    <row r="22" spans="1:9" x14ac:dyDescent="0.25">
      <c r="A22" s="6">
        <v>1</v>
      </c>
      <c r="B22" s="359" t="s">
        <v>12</v>
      </c>
      <c r="C22" s="5">
        <v>340</v>
      </c>
      <c r="D22" s="13">
        <v>1234</v>
      </c>
      <c r="E22" s="14">
        <v>10.5</v>
      </c>
      <c r="F22" s="3">
        <f t="shared" si="0"/>
        <v>38</v>
      </c>
      <c r="G22" s="13">
        <f t="shared" si="1"/>
        <v>12957</v>
      </c>
      <c r="I22" s="360"/>
    </row>
    <row r="23" spans="1:9" x14ac:dyDescent="0.25">
      <c r="A23" s="6">
        <v>1</v>
      </c>
      <c r="B23" s="359" t="s">
        <v>103</v>
      </c>
      <c r="C23" s="5">
        <v>340</v>
      </c>
      <c r="D23" s="13">
        <f>640-30</f>
        <v>610</v>
      </c>
      <c r="E23" s="14">
        <v>7.8</v>
      </c>
      <c r="F23" s="3">
        <f t="shared" si="0"/>
        <v>14</v>
      </c>
      <c r="G23" s="13">
        <f t="shared" si="1"/>
        <v>4758</v>
      </c>
      <c r="I23" s="360"/>
    </row>
    <row r="24" spans="1:9" x14ac:dyDescent="0.25">
      <c r="A24" s="6">
        <v>1</v>
      </c>
      <c r="B24" s="359" t="s">
        <v>23</v>
      </c>
      <c r="C24" s="5">
        <v>340</v>
      </c>
      <c r="D24" s="13">
        <f>1600+416</f>
        <v>2016</v>
      </c>
      <c r="E24" s="14">
        <v>6</v>
      </c>
      <c r="F24" s="3">
        <f t="shared" si="0"/>
        <v>36</v>
      </c>
      <c r="G24" s="13">
        <f t="shared" si="1"/>
        <v>12096</v>
      </c>
      <c r="I24" s="360"/>
    </row>
    <row r="25" spans="1:9" x14ac:dyDescent="0.25">
      <c r="A25" s="6">
        <v>1</v>
      </c>
      <c r="B25" s="359" t="s">
        <v>57</v>
      </c>
      <c r="C25" s="5">
        <v>340</v>
      </c>
      <c r="D25" s="13">
        <v>1320</v>
      </c>
      <c r="E25" s="14">
        <v>13.1</v>
      </c>
      <c r="F25" s="3">
        <f t="shared" si="0"/>
        <v>51</v>
      </c>
      <c r="G25" s="13">
        <f t="shared" si="1"/>
        <v>17292</v>
      </c>
      <c r="I25" s="360"/>
    </row>
    <row r="26" spans="1:9" x14ac:dyDescent="0.25">
      <c r="A26" s="6">
        <v>1</v>
      </c>
      <c r="B26" s="359" t="s">
        <v>8</v>
      </c>
      <c r="C26" s="5">
        <v>340</v>
      </c>
      <c r="D26" s="13">
        <v>1123</v>
      </c>
      <c r="E26" s="14">
        <v>7.7</v>
      </c>
      <c r="F26" s="3">
        <f t="shared" si="0"/>
        <v>25</v>
      </c>
      <c r="G26" s="13">
        <f t="shared" si="1"/>
        <v>8647</v>
      </c>
      <c r="I26" s="360"/>
    </row>
    <row r="27" spans="1:9" x14ac:dyDescent="0.25">
      <c r="A27" s="6">
        <v>1</v>
      </c>
      <c r="B27" s="359" t="s">
        <v>14</v>
      </c>
      <c r="C27" s="5">
        <v>340</v>
      </c>
      <c r="D27" s="13">
        <v>786</v>
      </c>
      <c r="E27" s="14">
        <v>13.2</v>
      </c>
      <c r="F27" s="3">
        <f t="shared" si="0"/>
        <v>31</v>
      </c>
      <c r="G27" s="13">
        <f t="shared" si="1"/>
        <v>10375</v>
      </c>
      <c r="I27" s="360"/>
    </row>
    <row r="28" spans="1:9" ht="17.25" customHeight="1" x14ac:dyDescent="0.25">
      <c r="A28" s="6">
        <v>1</v>
      </c>
      <c r="B28" s="359" t="s">
        <v>63</v>
      </c>
      <c r="C28" s="5">
        <v>340</v>
      </c>
      <c r="D28" s="13">
        <v>684</v>
      </c>
      <c r="E28" s="14">
        <v>16</v>
      </c>
      <c r="F28" s="3">
        <f t="shared" si="0"/>
        <v>32</v>
      </c>
      <c r="G28" s="13">
        <f t="shared" si="1"/>
        <v>10944</v>
      </c>
      <c r="I28" s="360"/>
    </row>
    <row r="29" spans="1:9" ht="17.25" customHeight="1" x14ac:dyDescent="0.25">
      <c r="A29" s="6">
        <v>1</v>
      </c>
      <c r="B29" s="359" t="s">
        <v>138</v>
      </c>
      <c r="C29" s="5">
        <v>340</v>
      </c>
      <c r="D29" s="13">
        <f>300</f>
        <v>300</v>
      </c>
      <c r="E29" s="14">
        <v>18</v>
      </c>
      <c r="F29" s="3">
        <f t="shared" si="0"/>
        <v>16</v>
      </c>
      <c r="G29" s="13">
        <f t="shared" si="1"/>
        <v>5400</v>
      </c>
      <c r="I29" s="360"/>
    </row>
    <row r="30" spans="1:9" ht="17.25" customHeight="1" x14ac:dyDescent="0.25">
      <c r="A30" s="6">
        <v>1</v>
      </c>
      <c r="B30" s="359" t="s">
        <v>110</v>
      </c>
      <c r="C30" s="5">
        <v>340</v>
      </c>
      <c r="D30" s="13">
        <v>36</v>
      </c>
      <c r="E30" s="14">
        <v>12</v>
      </c>
      <c r="F30" s="3">
        <f t="shared" si="0"/>
        <v>1</v>
      </c>
      <c r="G30" s="13">
        <f t="shared" si="1"/>
        <v>432</v>
      </c>
      <c r="I30" s="360"/>
    </row>
    <row r="31" spans="1:9" ht="17.25" customHeight="1" x14ac:dyDescent="0.25">
      <c r="A31" s="6">
        <v>1</v>
      </c>
      <c r="B31" s="359" t="s">
        <v>105</v>
      </c>
      <c r="C31" s="5">
        <v>340</v>
      </c>
      <c r="D31" s="13">
        <v>53</v>
      </c>
      <c r="E31" s="14">
        <v>12</v>
      </c>
      <c r="F31" s="3">
        <f t="shared" si="0"/>
        <v>2</v>
      </c>
      <c r="G31" s="13">
        <f t="shared" si="1"/>
        <v>636</v>
      </c>
      <c r="I31" s="360"/>
    </row>
    <row r="32" spans="1:9" ht="17.25" customHeight="1" x14ac:dyDescent="0.25">
      <c r="A32" s="6">
        <v>1</v>
      </c>
      <c r="B32" s="359" t="s">
        <v>111</v>
      </c>
      <c r="C32" s="5">
        <v>340</v>
      </c>
      <c r="D32" s="13">
        <v>38</v>
      </c>
      <c r="E32" s="14">
        <v>12</v>
      </c>
      <c r="F32" s="3">
        <f t="shared" si="0"/>
        <v>1</v>
      </c>
      <c r="G32" s="13">
        <f t="shared" si="1"/>
        <v>456</v>
      </c>
      <c r="I32" s="360"/>
    </row>
    <row r="33" spans="1:10" ht="17.25" customHeight="1" x14ac:dyDescent="0.25">
      <c r="A33" s="6">
        <v>1</v>
      </c>
      <c r="B33" s="359" t="s">
        <v>295</v>
      </c>
      <c r="C33" s="5">
        <v>340</v>
      </c>
      <c r="D33" s="13">
        <v>15</v>
      </c>
      <c r="E33" s="14">
        <v>12</v>
      </c>
      <c r="F33" s="3">
        <f t="shared" si="0"/>
        <v>1</v>
      </c>
      <c r="G33" s="13">
        <f t="shared" si="1"/>
        <v>180</v>
      </c>
      <c r="I33" s="360"/>
    </row>
    <row r="34" spans="1:10" ht="17.25" customHeight="1" x14ac:dyDescent="0.25">
      <c r="A34" s="6">
        <v>1</v>
      </c>
      <c r="B34" s="359" t="s">
        <v>112</v>
      </c>
      <c r="C34" s="5">
        <v>340</v>
      </c>
      <c r="D34" s="13">
        <v>73</v>
      </c>
      <c r="E34" s="14">
        <v>12</v>
      </c>
      <c r="F34" s="3">
        <f t="shared" si="0"/>
        <v>3</v>
      </c>
      <c r="G34" s="13">
        <f t="shared" si="1"/>
        <v>876</v>
      </c>
      <c r="I34" s="360"/>
    </row>
    <row r="35" spans="1:10" ht="17.25" customHeight="1" x14ac:dyDescent="0.25">
      <c r="A35" s="6">
        <v>1</v>
      </c>
      <c r="B35" s="359" t="s">
        <v>113</v>
      </c>
      <c r="C35" s="5">
        <v>340</v>
      </c>
      <c r="D35" s="13">
        <v>841</v>
      </c>
      <c r="E35" s="14">
        <v>16.5</v>
      </c>
      <c r="F35" s="3">
        <f t="shared" si="0"/>
        <v>41</v>
      </c>
      <c r="G35" s="13">
        <f t="shared" si="1"/>
        <v>13877</v>
      </c>
      <c r="I35" s="360"/>
    </row>
    <row r="36" spans="1:10" s="20" customFormat="1" x14ac:dyDescent="0.25">
      <c r="A36" s="6">
        <v>1</v>
      </c>
      <c r="B36" s="15" t="s">
        <v>5</v>
      </c>
      <c r="C36" s="16"/>
      <c r="D36" s="19">
        <f>SUM(D11:D35)</f>
        <v>17711</v>
      </c>
      <c r="E36" s="363">
        <f>G36/D36</f>
        <v>12.212749138953193</v>
      </c>
      <c r="F36" s="19">
        <f t="shared" ref="F36:G36" si="2">SUM(F11:F35)</f>
        <v>638</v>
      </c>
      <c r="G36" s="19">
        <f t="shared" si="2"/>
        <v>216300</v>
      </c>
      <c r="J36" s="364"/>
    </row>
    <row r="37" spans="1:10" s="20" customFormat="1" x14ac:dyDescent="0.25">
      <c r="A37" s="6">
        <v>1</v>
      </c>
      <c r="B37" s="21" t="s">
        <v>185</v>
      </c>
      <c r="C37" s="22"/>
      <c r="D37" s="358"/>
      <c r="E37" s="13"/>
      <c r="F37" s="13"/>
      <c r="G37" s="13"/>
    </row>
    <row r="38" spans="1:10" s="20" customFormat="1" ht="30" x14ac:dyDescent="0.25">
      <c r="A38" s="6">
        <v>1</v>
      </c>
      <c r="B38" s="23" t="s">
        <v>321</v>
      </c>
      <c r="C38" s="22"/>
      <c r="D38" s="358">
        <f>SUM(D39:D40)</f>
        <v>120023</v>
      </c>
      <c r="E38" s="13"/>
      <c r="F38" s="13"/>
      <c r="G38" s="13"/>
    </row>
    <row r="39" spans="1:10" s="20" customFormat="1" ht="45" x14ac:dyDescent="0.25">
      <c r="A39" s="6">
        <v>1</v>
      </c>
      <c r="B39" s="210" t="s">
        <v>221</v>
      </c>
      <c r="C39" s="22"/>
      <c r="D39" s="358">
        <v>2000</v>
      </c>
      <c r="E39" s="13"/>
      <c r="F39" s="13"/>
      <c r="G39" s="13"/>
    </row>
    <row r="40" spans="1:10" s="20" customFormat="1" x14ac:dyDescent="0.25">
      <c r="A40" s="6">
        <v>1</v>
      </c>
      <c r="B40" s="210" t="s">
        <v>223</v>
      </c>
      <c r="C40" s="22"/>
      <c r="D40" s="358">
        <v>118023</v>
      </c>
      <c r="E40" s="13"/>
      <c r="F40" s="13"/>
      <c r="G40" s="13"/>
      <c r="I40" s="364"/>
    </row>
    <row r="41" spans="1:10" s="20" customFormat="1" x14ac:dyDescent="0.25">
      <c r="A41" s="6">
        <v>1</v>
      </c>
      <c r="B41" s="24" t="s">
        <v>118</v>
      </c>
      <c r="C41" s="22"/>
      <c r="D41" s="358"/>
      <c r="E41" s="13"/>
      <c r="F41" s="13"/>
      <c r="G41" s="13"/>
    </row>
    <row r="42" spans="1:10" s="20" customFormat="1" ht="30" x14ac:dyDescent="0.25">
      <c r="A42" s="6">
        <v>1</v>
      </c>
      <c r="B42" s="24" t="s">
        <v>119</v>
      </c>
      <c r="C42" s="22"/>
      <c r="D42" s="358"/>
      <c r="E42" s="13"/>
      <c r="F42" s="13"/>
      <c r="G42" s="13"/>
    </row>
    <row r="43" spans="1:10" s="20" customFormat="1" ht="45" x14ac:dyDescent="0.25">
      <c r="A43" s="6">
        <v>1</v>
      </c>
      <c r="B43" s="24" t="s">
        <v>296</v>
      </c>
      <c r="C43" s="22"/>
      <c r="D43" s="13">
        <v>13800</v>
      </c>
      <c r="E43" s="13"/>
      <c r="F43" s="13"/>
      <c r="G43" s="13"/>
    </row>
    <row r="44" spans="1:10" s="20" customFormat="1" ht="17.25" customHeight="1" x14ac:dyDescent="0.25">
      <c r="A44" s="6">
        <v>1</v>
      </c>
      <c r="B44" s="365" t="s">
        <v>151</v>
      </c>
      <c r="C44" s="22"/>
      <c r="D44" s="366">
        <f>D38+ROUND(D41*3.2,0)+D42+D43</f>
        <v>133823</v>
      </c>
      <c r="E44" s="13"/>
      <c r="F44" s="13"/>
      <c r="G44" s="13"/>
    </row>
    <row r="45" spans="1:10" s="20" customFormat="1" x14ac:dyDescent="0.25">
      <c r="A45" s="6">
        <v>1</v>
      </c>
      <c r="B45" s="25" t="s">
        <v>120</v>
      </c>
      <c r="C45" s="22"/>
      <c r="D45" s="367">
        <f>SUM(D46:D72)</f>
        <v>127786</v>
      </c>
      <c r="E45" s="13"/>
      <c r="F45" s="13"/>
      <c r="G45" s="13"/>
    </row>
    <row r="46" spans="1:10" s="20" customFormat="1" ht="30" x14ac:dyDescent="0.25">
      <c r="A46" s="6">
        <v>1</v>
      </c>
      <c r="B46" s="299" t="s">
        <v>300</v>
      </c>
      <c r="C46" s="22"/>
      <c r="D46" s="358">
        <v>55000</v>
      </c>
      <c r="E46" s="13"/>
      <c r="F46" s="13"/>
      <c r="G46" s="13"/>
    </row>
    <row r="47" spans="1:10" s="20" customFormat="1" x14ac:dyDescent="0.25">
      <c r="A47" s="6">
        <v>1</v>
      </c>
      <c r="B47" s="368" t="s">
        <v>244</v>
      </c>
      <c r="C47" s="38"/>
      <c r="D47" s="358">
        <v>60</v>
      </c>
      <c r="E47" s="13"/>
      <c r="F47" s="13"/>
      <c r="G47" s="13"/>
    </row>
    <row r="48" spans="1:10" s="20" customFormat="1" x14ac:dyDescent="0.25">
      <c r="A48" s="6">
        <v>1</v>
      </c>
      <c r="B48" s="368" t="s">
        <v>299</v>
      </c>
      <c r="C48" s="38"/>
      <c r="D48" s="358">
        <v>70</v>
      </c>
      <c r="E48" s="13"/>
      <c r="F48" s="13"/>
      <c r="G48" s="13"/>
    </row>
    <row r="49" spans="1:7" s="20" customFormat="1" ht="45" x14ac:dyDescent="0.25">
      <c r="A49" s="6">
        <v>1</v>
      </c>
      <c r="B49" s="658" t="s">
        <v>316</v>
      </c>
      <c r="C49" s="22"/>
      <c r="D49" s="358">
        <v>1500</v>
      </c>
      <c r="E49" s="13"/>
      <c r="F49" s="13"/>
      <c r="G49" s="13"/>
    </row>
    <row r="50" spans="1:7" s="20" customFormat="1" ht="45" x14ac:dyDescent="0.25">
      <c r="A50" s="6">
        <v>1</v>
      </c>
      <c r="B50" s="210" t="s">
        <v>302</v>
      </c>
      <c r="C50" s="22"/>
      <c r="D50" s="358">
        <v>1000</v>
      </c>
      <c r="E50" s="13"/>
      <c r="F50" s="13"/>
      <c r="G50" s="13"/>
    </row>
    <row r="51" spans="1:7" s="20" customFormat="1" x14ac:dyDescent="0.25">
      <c r="A51" s="6">
        <v>1</v>
      </c>
      <c r="B51" s="26" t="s">
        <v>17</v>
      </c>
      <c r="C51" s="22"/>
      <c r="D51" s="358">
        <v>2500</v>
      </c>
      <c r="E51" s="13"/>
      <c r="F51" s="13"/>
      <c r="G51" s="13"/>
    </row>
    <row r="52" spans="1:7" s="20" customFormat="1" x14ac:dyDescent="0.25">
      <c r="A52" s="6">
        <v>1</v>
      </c>
      <c r="B52" s="26" t="s">
        <v>301</v>
      </c>
      <c r="C52" s="22"/>
      <c r="D52" s="358">
        <v>2000</v>
      </c>
      <c r="E52" s="13"/>
      <c r="F52" s="13"/>
      <c r="G52" s="13"/>
    </row>
    <row r="53" spans="1:7" s="20" customFormat="1" x14ac:dyDescent="0.25">
      <c r="A53" s="6">
        <v>1</v>
      </c>
      <c r="B53" s="26" t="s">
        <v>64</v>
      </c>
      <c r="C53" s="22"/>
      <c r="D53" s="358">
        <v>90</v>
      </c>
      <c r="E53" s="13"/>
      <c r="F53" s="13"/>
      <c r="G53" s="13"/>
    </row>
    <row r="54" spans="1:7" s="20" customFormat="1" x14ac:dyDescent="0.25">
      <c r="A54" s="6">
        <v>1</v>
      </c>
      <c r="B54" s="26" t="s">
        <v>19</v>
      </c>
      <c r="C54" s="22"/>
      <c r="D54" s="358">
        <v>700</v>
      </c>
      <c r="E54" s="13"/>
      <c r="F54" s="13"/>
      <c r="G54" s="13"/>
    </row>
    <row r="55" spans="1:7" s="20" customFormat="1" ht="30" x14ac:dyDescent="0.25">
      <c r="A55" s="6">
        <v>1</v>
      </c>
      <c r="B55" s="369" t="s">
        <v>30</v>
      </c>
      <c r="C55" s="22"/>
      <c r="D55" s="358">
        <v>245</v>
      </c>
      <c r="E55" s="13"/>
      <c r="F55" s="13"/>
      <c r="G55" s="13"/>
    </row>
    <row r="56" spans="1:7" s="20" customFormat="1" x14ac:dyDescent="0.25">
      <c r="A56" s="6">
        <v>1</v>
      </c>
      <c r="B56" s="369" t="s">
        <v>269</v>
      </c>
      <c r="C56" s="22"/>
      <c r="D56" s="358">
        <v>40000</v>
      </c>
      <c r="E56" s="13"/>
      <c r="F56" s="13"/>
      <c r="G56" s="13"/>
    </row>
    <row r="57" spans="1:7" s="20" customFormat="1" x14ac:dyDescent="0.25">
      <c r="A57" s="6">
        <v>1</v>
      </c>
      <c r="B57" s="26" t="s">
        <v>32</v>
      </c>
      <c r="C57" s="22"/>
      <c r="D57" s="358">
        <v>182</v>
      </c>
      <c r="E57" s="13"/>
      <c r="F57" s="13"/>
      <c r="G57" s="13"/>
    </row>
    <row r="58" spans="1:7" s="20" customFormat="1" x14ac:dyDescent="0.25">
      <c r="A58" s="6">
        <v>1</v>
      </c>
      <c r="B58" s="26" t="s">
        <v>121</v>
      </c>
      <c r="C58" s="22"/>
      <c r="D58" s="358">
        <v>16</v>
      </c>
      <c r="E58" s="13"/>
      <c r="F58" s="13"/>
      <c r="G58" s="13"/>
    </row>
    <row r="59" spans="1:7" s="20" customFormat="1" x14ac:dyDescent="0.25">
      <c r="A59" s="6">
        <v>1</v>
      </c>
      <c r="B59" s="26" t="s">
        <v>232</v>
      </c>
      <c r="C59" s="22"/>
      <c r="D59" s="358">
        <v>200</v>
      </c>
      <c r="E59" s="13"/>
      <c r="F59" s="13"/>
      <c r="G59" s="13"/>
    </row>
    <row r="60" spans="1:7" s="20" customFormat="1" x14ac:dyDescent="0.25">
      <c r="A60" s="6">
        <v>1</v>
      </c>
      <c r="B60" s="26" t="s">
        <v>230</v>
      </c>
      <c r="C60" s="22"/>
      <c r="D60" s="358">
        <v>1550</v>
      </c>
      <c r="E60" s="13"/>
      <c r="F60" s="13"/>
      <c r="G60" s="13"/>
    </row>
    <row r="61" spans="1:7" s="20" customFormat="1" x14ac:dyDescent="0.25">
      <c r="A61" s="6">
        <v>1</v>
      </c>
      <c r="B61" s="26" t="s">
        <v>56</v>
      </c>
      <c r="C61" s="22"/>
      <c r="D61" s="358">
        <v>634</v>
      </c>
      <c r="E61" s="13"/>
      <c r="F61" s="13"/>
      <c r="G61" s="13"/>
    </row>
    <row r="62" spans="1:7" s="20" customFormat="1" x14ac:dyDescent="0.25">
      <c r="A62" s="6">
        <v>1</v>
      </c>
      <c r="B62" s="26" t="s">
        <v>52</v>
      </c>
      <c r="C62" s="22"/>
      <c r="D62" s="358">
        <v>3000</v>
      </c>
      <c r="E62" s="13"/>
      <c r="F62" s="13"/>
      <c r="G62" s="13"/>
    </row>
    <row r="63" spans="1:7" s="20" customFormat="1" x14ac:dyDescent="0.25">
      <c r="A63" s="6">
        <v>1</v>
      </c>
      <c r="B63" s="26" t="s">
        <v>247</v>
      </c>
      <c r="C63" s="22"/>
      <c r="D63" s="358">
        <v>1000</v>
      </c>
      <c r="E63" s="13"/>
      <c r="F63" s="13"/>
      <c r="G63" s="13"/>
    </row>
    <row r="64" spans="1:7" s="20" customFormat="1" x14ac:dyDescent="0.25">
      <c r="A64" s="6">
        <v>1</v>
      </c>
      <c r="B64" s="210" t="s">
        <v>226</v>
      </c>
      <c r="C64" s="22"/>
      <c r="D64" s="358">
        <v>400</v>
      </c>
      <c r="E64" s="13"/>
      <c r="F64" s="13"/>
      <c r="G64" s="13"/>
    </row>
    <row r="65" spans="1:7" s="20" customFormat="1" x14ac:dyDescent="0.25">
      <c r="A65" s="6">
        <v>1</v>
      </c>
      <c r="B65" s="210" t="s">
        <v>54</v>
      </c>
      <c r="C65" s="22"/>
      <c r="D65" s="358">
        <v>800</v>
      </c>
      <c r="E65" s="13"/>
      <c r="F65" s="13"/>
      <c r="G65" s="13"/>
    </row>
    <row r="66" spans="1:7" s="20" customFormat="1" x14ac:dyDescent="0.25">
      <c r="A66" s="6">
        <v>1</v>
      </c>
      <c r="B66" s="26" t="s">
        <v>18</v>
      </c>
      <c r="C66" s="22"/>
      <c r="D66" s="358">
        <v>6000</v>
      </c>
      <c r="E66" s="13"/>
      <c r="F66" s="13"/>
      <c r="G66" s="13"/>
    </row>
    <row r="67" spans="1:7" s="20" customFormat="1" x14ac:dyDescent="0.25">
      <c r="A67" s="6">
        <v>1</v>
      </c>
      <c r="B67" s="26" t="s">
        <v>16</v>
      </c>
      <c r="C67" s="22"/>
      <c r="D67" s="358">
        <v>430</v>
      </c>
      <c r="E67" s="13"/>
      <c r="F67" s="13"/>
      <c r="G67" s="13"/>
    </row>
    <row r="68" spans="1:7" s="20" customFormat="1" x14ac:dyDescent="0.25">
      <c r="A68" s="6">
        <v>1</v>
      </c>
      <c r="B68" s="26" t="s">
        <v>227</v>
      </c>
      <c r="C68" s="22"/>
      <c r="D68" s="358">
        <v>370</v>
      </c>
      <c r="E68" s="13"/>
      <c r="F68" s="13"/>
      <c r="G68" s="13"/>
    </row>
    <row r="69" spans="1:7" s="20" customFormat="1" x14ac:dyDescent="0.25">
      <c r="A69" s="6">
        <v>1</v>
      </c>
      <c r="B69" s="26" t="s">
        <v>53</v>
      </c>
      <c r="C69" s="22"/>
      <c r="D69" s="358">
        <v>4000</v>
      </c>
      <c r="E69" s="13"/>
      <c r="F69" s="13"/>
      <c r="G69" s="13"/>
    </row>
    <row r="70" spans="1:7" s="20" customFormat="1" x14ac:dyDescent="0.25">
      <c r="A70" s="6">
        <v>1</v>
      </c>
      <c r="B70" s="26" t="s">
        <v>229</v>
      </c>
      <c r="C70" s="22"/>
      <c r="D70" s="358">
        <v>634</v>
      </c>
      <c r="E70" s="13"/>
      <c r="F70" s="13"/>
      <c r="G70" s="13"/>
    </row>
    <row r="71" spans="1:7" s="20" customFormat="1" x14ac:dyDescent="0.25">
      <c r="A71" s="6">
        <v>1</v>
      </c>
      <c r="B71" s="370" t="s">
        <v>231</v>
      </c>
      <c r="C71" s="22"/>
      <c r="D71" s="358">
        <v>100</v>
      </c>
      <c r="E71" s="13"/>
      <c r="F71" s="13"/>
      <c r="G71" s="13"/>
    </row>
    <row r="72" spans="1:7" s="20" customFormat="1" x14ac:dyDescent="0.25">
      <c r="A72" s="6">
        <v>1</v>
      </c>
      <c r="B72" s="26" t="s">
        <v>228</v>
      </c>
      <c r="C72" s="22"/>
      <c r="D72" s="358">
        <v>5305</v>
      </c>
      <c r="E72" s="13"/>
      <c r="F72" s="13"/>
      <c r="G72" s="13"/>
    </row>
    <row r="73" spans="1:7" s="20" customFormat="1" ht="18.75" customHeight="1" x14ac:dyDescent="0.25">
      <c r="A73" s="6">
        <v>1</v>
      </c>
      <c r="B73" s="27" t="s">
        <v>7</v>
      </c>
      <c r="C73" s="28"/>
      <c r="D73" s="358"/>
      <c r="E73" s="13"/>
      <c r="F73" s="13"/>
      <c r="G73" s="13"/>
    </row>
    <row r="74" spans="1:7" s="20" customFormat="1" ht="17.25" customHeight="1" x14ac:dyDescent="0.25">
      <c r="A74" s="6">
        <v>1</v>
      </c>
      <c r="B74" s="371" t="s">
        <v>139</v>
      </c>
      <c r="C74" s="28"/>
      <c r="D74" s="358"/>
      <c r="E74" s="13"/>
      <c r="F74" s="13"/>
      <c r="G74" s="13"/>
    </row>
    <row r="75" spans="1:7" s="20" customFormat="1" x14ac:dyDescent="0.25">
      <c r="A75" s="6">
        <v>1</v>
      </c>
      <c r="B75" s="29" t="s">
        <v>23</v>
      </c>
      <c r="C75" s="28">
        <v>340</v>
      </c>
      <c r="D75" s="13">
        <v>104</v>
      </c>
      <c r="E75" s="372">
        <v>3.1</v>
      </c>
      <c r="F75" s="3">
        <f t="shared" ref="F75:F83" si="3">ROUND(G75/C75,0)</f>
        <v>1</v>
      </c>
      <c r="G75" s="13">
        <f t="shared" ref="G75:G83" si="4">ROUND(D75*E75,0)</f>
        <v>322</v>
      </c>
    </row>
    <row r="76" spans="1:7" s="20" customFormat="1" x14ac:dyDescent="0.25">
      <c r="A76" s="6">
        <v>1</v>
      </c>
      <c r="B76" s="29" t="s">
        <v>8</v>
      </c>
      <c r="C76" s="28">
        <v>340</v>
      </c>
      <c r="D76" s="13">
        <v>102</v>
      </c>
      <c r="E76" s="372">
        <v>7.6</v>
      </c>
      <c r="F76" s="3">
        <f t="shared" si="3"/>
        <v>2</v>
      </c>
      <c r="G76" s="13">
        <f t="shared" si="4"/>
        <v>775</v>
      </c>
    </row>
    <row r="77" spans="1:7" s="20" customFormat="1" x14ac:dyDescent="0.25">
      <c r="A77" s="6">
        <v>1</v>
      </c>
      <c r="B77" s="29" t="s">
        <v>34</v>
      </c>
      <c r="C77" s="28">
        <v>340</v>
      </c>
      <c r="D77" s="13">
        <v>109</v>
      </c>
      <c r="E77" s="372">
        <v>12</v>
      </c>
      <c r="F77" s="3">
        <f t="shared" si="3"/>
        <v>4</v>
      </c>
      <c r="G77" s="13">
        <f t="shared" si="4"/>
        <v>1308</v>
      </c>
    </row>
    <row r="78" spans="1:7" s="20" customFormat="1" x14ac:dyDescent="0.25">
      <c r="A78" s="6">
        <v>1</v>
      </c>
      <c r="B78" s="29" t="s">
        <v>35</v>
      </c>
      <c r="C78" s="28">
        <v>340</v>
      </c>
      <c r="D78" s="13">
        <v>86</v>
      </c>
      <c r="E78" s="372">
        <v>8.1999999999999993</v>
      </c>
      <c r="F78" s="3">
        <f t="shared" si="3"/>
        <v>2</v>
      </c>
      <c r="G78" s="13">
        <f t="shared" si="4"/>
        <v>705</v>
      </c>
    </row>
    <row r="79" spans="1:7" s="20" customFormat="1" x14ac:dyDescent="0.25">
      <c r="A79" s="6">
        <v>1</v>
      </c>
      <c r="B79" s="29" t="s">
        <v>57</v>
      </c>
      <c r="C79" s="28">
        <v>340</v>
      </c>
      <c r="D79" s="13">
        <v>25</v>
      </c>
      <c r="E79" s="372">
        <v>12</v>
      </c>
      <c r="F79" s="3">
        <f t="shared" si="3"/>
        <v>1</v>
      </c>
      <c r="G79" s="13">
        <f t="shared" si="4"/>
        <v>300</v>
      </c>
    </row>
    <row r="80" spans="1:7" s="20" customFormat="1" x14ac:dyDescent="0.25">
      <c r="A80" s="6">
        <v>1</v>
      </c>
      <c r="B80" s="29" t="s">
        <v>44</v>
      </c>
      <c r="C80" s="28">
        <v>340</v>
      </c>
      <c r="D80" s="13">
        <v>230</v>
      </c>
      <c r="E80" s="372">
        <v>9.5</v>
      </c>
      <c r="F80" s="3">
        <f t="shared" si="3"/>
        <v>6</v>
      </c>
      <c r="G80" s="13">
        <f t="shared" si="4"/>
        <v>2185</v>
      </c>
    </row>
    <row r="81" spans="1:7" s="20" customFormat="1" x14ac:dyDescent="0.25">
      <c r="A81" s="6">
        <v>1</v>
      </c>
      <c r="B81" s="29" t="s">
        <v>12</v>
      </c>
      <c r="C81" s="28">
        <v>340</v>
      </c>
      <c r="D81" s="13">
        <v>46</v>
      </c>
      <c r="E81" s="293">
        <v>9.8000000000000007</v>
      </c>
      <c r="F81" s="3">
        <f t="shared" si="3"/>
        <v>1</v>
      </c>
      <c r="G81" s="13">
        <f t="shared" si="4"/>
        <v>451</v>
      </c>
    </row>
    <row r="82" spans="1:7" s="20" customFormat="1" x14ac:dyDescent="0.25">
      <c r="A82" s="6">
        <v>1</v>
      </c>
      <c r="B82" s="29" t="s">
        <v>31</v>
      </c>
      <c r="C82" s="28">
        <v>340</v>
      </c>
      <c r="D82" s="13">
        <v>80</v>
      </c>
      <c r="E82" s="293">
        <v>11</v>
      </c>
      <c r="F82" s="3">
        <f t="shared" si="3"/>
        <v>3</v>
      </c>
      <c r="G82" s="13">
        <f t="shared" si="4"/>
        <v>880</v>
      </c>
    </row>
    <row r="83" spans="1:7" s="20" customFormat="1" x14ac:dyDescent="0.25">
      <c r="A83" s="6">
        <v>1</v>
      </c>
      <c r="B83" s="29" t="s">
        <v>63</v>
      </c>
      <c r="C83" s="28">
        <v>340</v>
      </c>
      <c r="D83" s="13">
        <v>40</v>
      </c>
      <c r="E83" s="293">
        <v>7</v>
      </c>
      <c r="F83" s="3">
        <f t="shared" si="3"/>
        <v>1</v>
      </c>
      <c r="G83" s="13">
        <f t="shared" si="4"/>
        <v>280</v>
      </c>
    </row>
    <row r="84" spans="1:7" s="20" customFormat="1" x14ac:dyDescent="0.25">
      <c r="A84" s="6">
        <v>1</v>
      </c>
      <c r="B84" s="29" t="s">
        <v>113</v>
      </c>
      <c r="C84" s="28">
        <v>340</v>
      </c>
      <c r="D84" s="13">
        <v>70</v>
      </c>
      <c r="E84" s="293">
        <v>12</v>
      </c>
      <c r="F84" s="3">
        <f t="shared" ref="F84" si="5">ROUND(G84/C84,0)</f>
        <v>2</v>
      </c>
      <c r="G84" s="13">
        <f t="shared" ref="G84" si="6">ROUND(D84*E84,0)</f>
        <v>840</v>
      </c>
    </row>
    <row r="85" spans="1:7" s="378" customFormat="1" ht="17.25" customHeight="1" x14ac:dyDescent="0.25">
      <c r="A85" s="6">
        <v>1</v>
      </c>
      <c r="B85" s="373" t="s">
        <v>9</v>
      </c>
      <c r="C85" s="374"/>
      <c r="D85" s="375">
        <f>SUM(D75:D84)</f>
        <v>892</v>
      </c>
      <c r="E85" s="376">
        <f>G85/D85</f>
        <v>9.02017937219731</v>
      </c>
      <c r="F85" s="377">
        <f t="shared" ref="F85:G85" si="7">SUM(F75:F84)</f>
        <v>23</v>
      </c>
      <c r="G85" s="377">
        <f t="shared" si="7"/>
        <v>8046</v>
      </c>
    </row>
    <row r="86" spans="1:7" s="20" customFormat="1" ht="18" customHeight="1" x14ac:dyDescent="0.25">
      <c r="A86" s="6">
        <v>1</v>
      </c>
      <c r="B86" s="371" t="s">
        <v>76</v>
      </c>
      <c r="C86" s="28"/>
      <c r="D86" s="358"/>
      <c r="E86" s="293"/>
      <c r="F86" s="3"/>
      <c r="G86" s="13"/>
    </row>
    <row r="87" spans="1:7" s="20" customFormat="1" ht="18" customHeight="1" x14ac:dyDescent="0.25">
      <c r="A87" s="6">
        <v>1</v>
      </c>
      <c r="B87" s="30" t="s">
        <v>37</v>
      </c>
      <c r="C87" s="28">
        <v>240</v>
      </c>
      <c r="D87" s="13">
        <v>241</v>
      </c>
      <c r="E87" s="293">
        <v>8.5</v>
      </c>
      <c r="F87" s="3">
        <f t="shared" ref="F87:F89" si="8">ROUND(G87/C87,0)</f>
        <v>9</v>
      </c>
      <c r="G87" s="13">
        <f>ROUND(D87*E87,0)</f>
        <v>2049</v>
      </c>
    </row>
    <row r="88" spans="1:7" s="20" customFormat="1" ht="18" customHeight="1" x14ac:dyDescent="0.25">
      <c r="A88" s="6">
        <v>1</v>
      </c>
      <c r="B88" s="30" t="s">
        <v>59</v>
      </c>
      <c r="C88" s="28">
        <v>240</v>
      </c>
      <c r="D88" s="13">
        <v>40</v>
      </c>
      <c r="E88" s="293">
        <v>10</v>
      </c>
      <c r="F88" s="3">
        <f t="shared" si="8"/>
        <v>2</v>
      </c>
      <c r="G88" s="13">
        <f>ROUND(D88*E88,0)</f>
        <v>400</v>
      </c>
    </row>
    <row r="89" spans="1:7" s="20" customFormat="1" ht="18" customHeight="1" x14ac:dyDescent="0.25">
      <c r="A89" s="6">
        <v>1</v>
      </c>
      <c r="B89" s="30" t="s">
        <v>113</v>
      </c>
      <c r="C89" s="222">
        <v>240</v>
      </c>
      <c r="D89" s="13">
        <v>428</v>
      </c>
      <c r="E89" s="293">
        <v>10</v>
      </c>
      <c r="F89" s="3">
        <f t="shared" si="8"/>
        <v>18</v>
      </c>
      <c r="G89" s="13">
        <f>ROUND(D89*E89,0)</f>
        <v>4280</v>
      </c>
    </row>
    <row r="90" spans="1:7" s="20" customFormat="1" ht="18" customHeight="1" x14ac:dyDescent="0.25">
      <c r="A90" s="6">
        <v>1</v>
      </c>
      <c r="B90" s="219" t="s">
        <v>141</v>
      </c>
      <c r="C90" s="222"/>
      <c r="D90" s="379">
        <f>SUM(D87:D89)</f>
        <v>709</v>
      </c>
      <c r="E90" s="376">
        <f t="shared" ref="E90:E91" si="9">G90/D90</f>
        <v>9.4908321579689705</v>
      </c>
      <c r="F90" s="380">
        <f t="shared" ref="F90:G90" si="10">SUM(F87:F89)</f>
        <v>29</v>
      </c>
      <c r="G90" s="380">
        <f t="shared" si="10"/>
        <v>6729</v>
      </c>
    </row>
    <row r="91" spans="1:7" ht="21" customHeight="1" x14ac:dyDescent="0.25">
      <c r="A91" s="6">
        <v>1</v>
      </c>
      <c r="B91" s="31" t="s">
        <v>116</v>
      </c>
      <c r="C91" s="381"/>
      <c r="D91" s="366">
        <f>D85+D90</f>
        <v>1601</v>
      </c>
      <c r="E91" s="376">
        <f t="shared" si="9"/>
        <v>9.2286071205496558</v>
      </c>
      <c r="F91" s="19">
        <f>F85+F90</f>
        <v>52</v>
      </c>
      <c r="G91" s="19">
        <f>G85+G90</f>
        <v>14775</v>
      </c>
    </row>
    <row r="92" spans="1:7" ht="31.5" customHeight="1" x14ac:dyDescent="0.25">
      <c r="A92" s="6">
        <v>1</v>
      </c>
      <c r="B92" s="32" t="s">
        <v>165</v>
      </c>
      <c r="C92" s="381"/>
      <c r="D92" s="367">
        <v>1700</v>
      </c>
      <c r="E92" s="17"/>
      <c r="F92" s="19"/>
      <c r="G92" s="19"/>
    </row>
    <row r="93" spans="1:7" ht="30" customHeight="1" x14ac:dyDescent="0.25">
      <c r="A93" s="6">
        <v>1</v>
      </c>
      <c r="B93" s="32" t="s">
        <v>166</v>
      </c>
      <c r="C93" s="381"/>
      <c r="D93" s="367">
        <v>10769</v>
      </c>
      <c r="E93" s="17"/>
      <c r="F93" s="19"/>
      <c r="G93" s="19"/>
    </row>
    <row r="94" spans="1:7" ht="30" customHeight="1" x14ac:dyDescent="0.25">
      <c r="A94" s="6">
        <v>1</v>
      </c>
      <c r="B94" s="32" t="s">
        <v>191</v>
      </c>
      <c r="C94" s="381"/>
      <c r="D94" s="367">
        <v>50</v>
      </c>
      <c r="E94" s="17"/>
      <c r="F94" s="19"/>
      <c r="G94" s="19"/>
    </row>
    <row r="95" spans="1:7" ht="30" customHeight="1" x14ac:dyDescent="0.25">
      <c r="B95" s="32" t="s">
        <v>315</v>
      </c>
      <c r="C95" s="381"/>
      <c r="D95" s="367">
        <v>15</v>
      </c>
      <c r="E95" s="17"/>
      <c r="F95" s="19"/>
      <c r="G95" s="19"/>
    </row>
    <row r="96" spans="1:7" ht="47.25" x14ac:dyDescent="0.25">
      <c r="A96" s="6">
        <v>1</v>
      </c>
      <c r="B96" s="32" t="s">
        <v>291</v>
      </c>
      <c r="C96" s="381"/>
      <c r="D96" s="367">
        <v>3950</v>
      </c>
      <c r="E96" s="367"/>
      <c r="F96" s="367"/>
      <c r="G96" s="367"/>
    </row>
    <row r="97" spans="1:9" ht="21" customHeight="1" thickBot="1" x14ac:dyDescent="0.3">
      <c r="A97" s="6">
        <v>1</v>
      </c>
      <c r="B97" s="382" t="s">
        <v>145</v>
      </c>
      <c r="C97" s="383"/>
      <c r="D97" s="384">
        <v>18200</v>
      </c>
      <c r="E97" s="385"/>
      <c r="F97" s="386"/>
      <c r="G97" s="386"/>
    </row>
    <row r="98" spans="1:9" s="392" customFormat="1" ht="19.5" customHeight="1" thickBot="1" x14ac:dyDescent="0.3">
      <c r="A98" s="6">
        <v>1</v>
      </c>
      <c r="B98" s="387" t="s">
        <v>10</v>
      </c>
      <c r="C98" s="388"/>
      <c r="D98" s="389"/>
      <c r="E98" s="390"/>
      <c r="F98" s="391"/>
      <c r="G98" s="390"/>
    </row>
    <row r="99" spans="1:9" hidden="1" x14ac:dyDescent="0.25">
      <c r="A99" s="6">
        <v>1</v>
      </c>
      <c r="B99" s="393"/>
      <c r="C99" s="394"/>
      <c r="D99" s="358"/>
      <c r="E99" s="13"/>
      <c r="F99" s="13"/>
      <c r="G99" s="13"/>
    </row>
    <row r="100" spans="1:9" ht="29.25" hidden="1" x14ac:dyDescent="0.25">
      <c r="A100" s="6">
        <v>1</v>
      </c>
      <c r="B100" s="395" t="s">
        <v>79</v>
      </c>
      <c r="C100" s="5"/>
      <c r="D100" s="358"/>
      <c r="E100" s="13"/>
      <c r="F100" s="13"/>
      <c r="G100" s="13"/>
    </row>
    <row r="101" spans="1:9" ht="18" hidden="1" customHeight="1" x14ac:dyDescent="0.25">
      <c r="A101" s="6">
        <v>1</v>
      </c>
      <c r="B101" s="356" t="s">
        <v>4</v>
      </c>
      <c r="C101" s="5"/>
      <c r="D101" s="358"/>
      <c r="E101" s="13"/>
      <c r="F101" s="13"/>
      <c r="G101" s="13"/>
    </row>
    <row r="102" spans="1:9" ht="18.75" hidden="1" customHeight="1" x14ac:dyDescent="0.25">
      <c r="A102" s="6">
        <v>1</v>
      </c>
      <c r="B102" s="4" t="s">
        <v>22</v>
      </c>
      <c r="C102" s="5">
        <v>340</v>
      </c>
      <c r="D102" s="13">
        <v>2165</v>
      </c>
      <c r="E102" s="372">
        <v>7.5</v>
      </c>
      <c r="F102" s="3">
        <f t="shared" ref="F102:F110" si="11">ROUND(G102/C102,0)</f>
        <v>48</v>
      </c>
      <c r="G102" s="13">
        <f t="shared" ref="G102:G110" si="12">ROUND(D102*E102,0)</f>
        <v>16238</v>
      </c>
    </row>
    <row r="103" spans="1:9" ht="28.5" hidden="1" customHeight="1" x14ac:dyDescent="0.25">
      <c r="A103" s="6">
        <v>1</v>
      </c>
      <c r="B103" s="320" t="s">
        <v>115</v>
      </c>
      <c r="C103" s="5">
        <v>340</v>
      </c>
      <c r="D103" s="13">
        <v>1944</v>
      </c>
      <c r="E103" s="372">
        <v>7.7</v>
      </c>
      <c r="F103" s="3">
        <f t="shared" si="11"/>
        <v>44</v>
      </c>
      <c r="G103" s="13">
        <f t="shared" si="12"/>
        <v>14969</v>
      </c>
    </row>
    <row r="104" spans="1:9" ht="17.25" hidden="1" customHeight="1" x14ac:dyDescent="0.25">
      <c r="A104" s="6">
        <v>1</v>
      </c>
      <c r="B104" s="4" t="s">
        <v>11</v>
      </c>
      <c r="C104" s="5">
        <v>340</v>
      </c>
      <c r="D104" s="13">
        <v>1128</v>
      </c>
      <c r="E104" s="14">
        <v>9.5</v>
      </c>
      <c r="F104" s="3">
        <f t="shared" si="11"/>
        <v>32</v>
      </c>
      <c r="G104" s="13">
        <f t="shared" si="12"/>
        <v>10716</v>
      </c>
    </row>
    <row r="105" spans="1:9" hidden="1" x14ac:dyDescent="0.25">
      <c r="A105" s="6">
        <v>1</v>
      </c>
      <c r="B105" s="4" t="s">
        <v>57</v>
      </c>
      <c r="C105" s="5">
        <v>340</v>
      </c>
      <c r="D105" s="13">
        <v>4055</v>
      </c>
      <c r="E105" s="14">
        <v>11</v>
      </c>
      <c r="F105" s="3">
        <f t="shared" si="11"/>
        <v>131</v>
      </c>
      <c r="G105" s="13">
        <f t="shared" si="12"/>
        <v>44605</v>
      </c>
    </row>
    <row r="106" spans="1:9" ht="18" hidden="1" customHeight="1" x14ac:dyDescent="0.25">
      <c r="A106" s="6">
        <v>1</v>
      </c>
      <c r="B106" s="4" t="s">
        <v>65</v>
      </c>
      <c r="C106" s="5">
        <v>340</v>
      </c>
      <c r="D106" s="13">
        <v>2326</v>
      </c>
      <c r="E106" s="14">
        <v>11</v>
      </c>
      <c r="F106" s="3">
        <f t="shared" si="11"/>
        <v>75</v>
      </c>
      <c r="G106" s="13">
        <f t="shared" si="12"/>
        <v>25586</v>
      </c>
    </row>
    <row r="107" spans="1:9" hidden="1" x14ac:dyDescent="0.25">
      <c r="A107" s="6">
        <v>1</v>
      </c>
      <c r="B107" s="4" t="s">
        <v>58</v>
      </c>
      <c r="C107" s="5">
        <v>340</v>
      </c>
      <c r="D107" s="13">
        <v>3240</v>
      </c>
      <c r="E107" s="14">
        <v>9.5</v>
      </c>
      <c r="F107" s="3">
        <f t="shared" si="11"/>
        <v>91</v>
      </c>
      <c r="G107" s="13">
        <f t="shared" si="12"/>
        <v>30780</v>
      </c>
    </row>
    <row r="108" spans="1:9" hidden="1" x14ac:dyDescent="0.25">
      <c r="A108" s="6">
        <v>1</v>
      </c>
      <c r="B108" s="4" t="s">
        <v>66</v>
      </c>
      <c r="C108" s="5">
        <v>340</v>
      </c>
      <c r="D108" s="13">
        <v>520</v>
      </c>
      <c r="E108" s="14">
        <v>20.100000000000001</v>
      </c>
      <c r="F108" s="3">
        <f t="shared" si="11"/>
        <v>31</v>
      </c>
      <c r="G108" s="13">
        <f t="shared" si="12"/>
        <v>10452</v>
      </c>
    </row>
    <row r="109" spans="1:9" hidden="1" x14ac:dyDescent="0.25">
      <c r="A109" s="6">
        <v>1</v>
      </c>
      <c r="B109" s="4" t="s">
        <v>62</v>
      </c>
      <c r="C109" s="5">
        <v>340</v>
      </c>
      <c r="D109" s="13">
        <v>1800</v>
      </c>
      <c r="E109" s="14">
        <v>10.5</v>
      </c>
      <c r="F109" s="3">
        <f t="shared" si="11"/>
        <v>56</v>
      </c>
      <c r="G109" s="13">
        <f t="shared" si="12"/>
        <v>18900</v>
      </c>
    </row>
    <row r="110" spans="1:9" hidden="1" x14ac:dyDescent="0.25">
      <c r="A110" s="6">
        <v>1</v>
      </c>
      <c r="B110" s="4" t="s">
        <v>297</v>
      </c>
      <c r="C110" s="5">
        <v>340</v>
      </c>
      <c r="D110" s="13">
        <v>117</v>
      </c>
      <c r="E110" s="396">
        <v>15</v>
      </c>
      <c r="F110" s="3">
        <f t="shared" si="11"/>
        <v>5</v>
      </c>
      <c r="G110" s="13">
        <f t="shared" si="12"/>
        <v>1755</v>
      </c>
    </row>
    <row r="111" spans="1:9" s="20" customFormat="1" ht="16.5" hidden="1" customHeight="1" x14ac:dyDescent="0.25">
      <c r="A111" s="6">
        <v>1</v>
      </c>
      <c r="B111" s="15" t="s">
        <v>5</v>
      </c>
      <c r="C111" s="5"/>
      <c r="D111" s="397">
        <f>SUM(D102:D110)</f>
        <v>17295</v>
      </c>
      <c r="E111" s="17">
        <f>G111/D111</f>
        <v>10.060769008383925</v>
      </c>
      <c r="F111" s="18">
        <f>SUM(F102:F110)</f>
        <v>513</v>
      </c>
      <c r="G111" s="19">
        <f>SUM(G102:G110)</f>
        <v>174001</v>
      </c>
      <c r="H111" s="275"/>
      <c r="I111" s="275"/>
    </row>
    <row r="112" spans="1:9" s="20" customFormat="1" ht="18.75" hidden="1" customHeight="1" x14ac:dyDescent="0.25">
      <c r="A112" s="6">
        <v>1</v>
      </c>
      <c r="B112" s="21" t="s">
        <v>6</v>
      </c>
      <c r="C112" s="22"/>
      <c r="D112" s="358"/>
      <c r="E112" s="3"/>
      <c r="F112" s="3"/>
      <c r="G112" s="13"/>
    </row>
    <row r="113" spans="1:7" s="20" customFormat="1" ht="27" hidden="1" customHeight="1" x14ac:dyDescent="0.25">
      <c r="A113" s="6">
        <v>1</v>
      </c>
      <c r="B113" s="23" t="s">
        <v>321</v>
      </c>
      <c r="C113" s="22"/>
      <c r="D113" s="358">
        <f>SUM(D114:D115)</f>
        <v>12900</v>
      </c>
      <c r="E113" s="3"/>
      <c r="F113" s="3"/>
      <c r="G113" s="13"/>
    </row>
    <row r="114" spans="1:7" s="20" customFormat="1" ht="45" hidden="1" x14ac:dyDescent="0.25">
      <c r="A114" s="6">
        <v>1</v>
      </c>
      <c r="B114" s="398" t="s">
        <v>221</v>
      </c>
      <c r="C114" s="22"/>
      <c r="D114" s="358">
        <v>300</v>
      </c>
      <c r="E114" s="3"/>
      <c r="F114" s="3"/>
      <c r="G114" s="13"/>
    </row>
    <row r="115" spans="1:7" s="20" customFormat="1" hidden="1" x14ac:dyDescent="0.25">
      <c r="A115" s="6">
        <v>1</v>
      </c>
      <c r="B115" s="210" t="s">
        <v>223</v>
      </c>
      <c r="C115" s="22"/>
      <c r="D115" s="358">
        <v>12600</v>
      </c>
      <c r="E115" s="3"/>
      <c r="F115" s="3"/>
      <c r="G115" s="13"/>
    </row>
    <row r="116" spans="1:7" s="20" customFormat="1" hidden="1" x14ac:dyDescent="0.25">
      <c r="A116" s="6">
        <v>1</v>
      </c>
      <c r="B116" s="24" t="s">
        <v>118</v>
      </c>
      <c r="C116" s="22"/>
      <c r="D116" s="358">
        <v>1490</v>
      </c>
      <c r="E116" s="3"/>
      <c r="F116" s="3"/>
      <c r="G116" s="13"/>
    </row>
    <row r="117" spans="1:7" s="20" customFormat="1" ht="30" hidden="1" x14ac:dyDescent="0.25">
      <c r="A117" s="6">
        <v>1</v>
      </c>
      <c r="B117" s="24" t="s">
        <v>119</v>
      </c>
      <c r="C117" s="22"/>
      <c r="D117" s="358">
        <f>29000-1000</f>
        <v>28000</v>
      </c>
      <c r="E117" s="3"/>
      <c r="F117" s="3"/>
      <c r="G117" s="13"/>
    </row>
    <row r="118" spans="1:7" s="20" customFormat="1" ht="16.5" hidden="1" customHeight="1" x14ac:dyDescent="0.25">
      <c r="A118" s="6">
        <v>1</v>
      </c>
      <c r="B118" s="210" t="s">
        <v>224</v>
      </c>
      <c r="C118" s="22"/>
      <c r="D118" s="358">
        <v>28000</v>
      </c>
      <c r="E118" s="3"/>
      <c r="F118" s="3"/>
      <c r="G118" s="13"/>
    </row>
    <row r="119" spans="1:7" s="20" customFormat="1" ht="52.5" hidden="1" customHeight="1" x14ac:dyDescent="0.25">
      <c r="A119" s="6">
        <v>1</v>
      </c>
      <c r="B119" s="24" t="s">
        <v>296</v>
      </c>
      <c r="C119" s="22"/>
      <c r="D119" s="358">
        <v>23000</v>
      </c>
      <c r="E119" s="3"/>
      <c r="F119" s="3"/>
      <c r="G119" s="13"/>
    </row>
    <row r="120" spans="1:7" s="20" customFormat="1" hidden="1" x14ac:dyDescent="0.25">
      <c r="A120" s="6">
        <v>1</v>
      </c>
      <c r="B120" s="18" t="s">
        <v>151</v>
      </c>
      <c r="C120" s="16"/>
      <c r="D120" s="366">
        <f>D113+ROUND(D116*3.2,0)+D117+D119</f>
        <v>68668</v>
      </c>
      <c r="E120" s="3"/>
      <c r="F120" s="3"/>
      <c r="G120" s="13"/>
    </row>
    <row r="121" spans="1:7" s="20" customFormat="1" hidden="1" x14ac:dyDescent="0.25">
      <c r="A121" s="6">
        <v>1</v>
      </c>
      <c r="B121" s="25" t="s">
        <v>120</v>
      </c>
      <c r="C121" s="16"/>
      <c r="D121" s="367">
        <f>SUM(D122:D125)</f>
        <v>7670</v>
      </c>
      <c r="E121" s="3"/>
      <c r="F121" s="3"/>
      <c r="G121" s="13"/>
    </row>
    <row r="122" spans="1:7" s="20" customFormat="1" hidden="1" x14ac:dyDescent="0.25">
      <c r="A122" s="6">
        <v>1</v>
      </c>
      <c r="B122" s="399" t="s">
        <v>19</v>
      </c>
      <c r="C122" s="16"/>
      <c r="D122" s="358">
        <v>6500</v>
      </c>
      <c r="E122" s="3"/>
      <c r="F122" s="3"/>
      <c r="G122" s="13"/>
    </row>
    <row r="123" spans="1:7" s="20" customFormat="1" ht="30" hidden="1" x14ac:dyDescent="0.25">
      <c r="A123" s="6">
        <v>1</v>
      </c>
      <c r="B123" s="320" t="s">
        <v>30</v>
      </c>
      <c r="C123" s="16"/>
      <c r="D123" s="358">
        <v>120</v>
      </c>
      <c r="E123" s="3"/>
      <c r="F123" s="3"/>
      <c r="G123" s="13"/>
    </row>
    <row r="124" spans="1:7" s="20" customFormat="1" hidden="1" x14ac:dyDescent="0.25">
      <c r="A124" s="6">
        <v>1</v>
      </c>
      <c r="B124" s="399" t="s">
        <v>32</v>
      </c>
      <c r="C124" s="16"/>
      <c r="D124" s="358">
        <v>900</v>
      </c>
      <c r="E124" s="3"/>
      <c r="F124" s="3"/>
      <c r="G124" s="13"/>
    </row>
    <row r="125" spans="1:7" s="20" customFormat="1" hidden="1" x14ac:dyDescent="0.25">
      <c r="A125" s="6">
        <v>1</v>
      </c>
      <c r="B125" s="399" t="s">
        <v>67</v>
      </c>
      <c r="C125" s="16"/>
      <c r="D125" s="358">
        <v>150</v>
      </c>
      <c r="E125" s="3"/>
      <c r="F125" s="3"/>
      <c r="G125" s="13"/>
    </row>
    <row r="126" spans="1:7" s="20" customFormat="1" hidden="1" x14ac:dyDescent="0.25">
      <c r="A126" s="6">
        <v>1</v>
      </c>
      <c r="B126" s="34" t="s">
        <v>7</v>
      </c>
      <c r="C126" s="16"/>
      <c r="D126" s="366"/>
      <c r="E126" s="3"/>
      <c r="F126" s="3"/>
      <c r="G126" s="13"/>
    </row>
    <row r="127" spans="1:7" s="20" customFormat="1" ht="15.75" hidden="1" x14ac:dyDescent="0.25">
      <c r="A127" s="6">
        <v>1</v>
      </c>
      <c r="B127" s="371" t="s">
        <v>139</v>
      </c>
      <c r="C127" s="16"/>
      <c r="D127" s="366"/>
      <c r="E127" s="3"/>
      <c r="F127" s="3"/>
      <c r="G127" s="13"/>
    </row>
    <row r="128" spans="1:7" s="20" customFormat="1" hidden="1" x14ac:dyDescent="0.25">
      <c r="A128" s="6">
        <v>1</v>
      </c>
      <c r="B128" s="29" t="s">
        <v>58</v>
      </c>
      <c r="C128" s="28">
        <v>340</v>
      </c>
      <c r="D128" s="358">
        <v>100</v>
      </c>
      <c r="E128" s="372">
        <v>8.5</v>
      </c>
      <c r="F128" s="3">
        <f>ROUND(G128/C128,0)</f>
        <v>3</v>
      </c>
      <c r="G128" s="13">
        <f>ROUND(D128*E128,0)</f>
        <v>850</v>
      </c>
    </row>
    <row r="129" spans="1:14" s="20" customFormat="1" hidden="1" x14ac:dyDescent="0.25">
      <c r="A129" s="6">
        <v>1</v>
      </c>
      <c r="B129" s="29" t="s">
        <v>65</v>
      </c>
      <c r="C129" s="28">
        <v>340</v>
      </c>
      <c r="D129" s="358"/>
      <c r="E129" s="372">
        <v>8.5</v>
      </c>
      <c r="F129" s="3">
        <f t="shared" ref="F129:F130" si="13">ROUND(G129/C129,0)</f>
        <v>0</v>
      </c>
      <c r="G129" s="13">
        <f t="shared" ref="G129:G130" si="14">ROUND(D129*E129,0)</f>
        <v>0</v>
      </c>
    </row>
    <row r="130" spans="1:14" s="20" customFormat="1" hidden="1" x14ac:dyDescent="0.25">
      <c r="A130" s="6">
        <v>1</v>
      </c>
      <c r="B130" s="29" t="s">
        <v>11</v>
      </c>
      <c r="C130" s="28">
        <v>340</v>
      </c>
      <c r="D130" s="358">
        <v>100</v>
      </c>
      <c r="E130" s="372">
        <v>8.5</v>
      </c>
      <c r="F130" s="3">
        <f t="shared" si="13"/>
        <v>3</v>
      </c>
      <c r="G130" s="13">
        <f t="shared" si="14"/>
        <v>850</v>
      </c>
    </row>
    <row r="131" spans="1:14" s="20" customFormat="1" hidden="1" x14ac:dyDescent="0.25">
      <c r="A131" s="6">
        <v>1</v>
      </c>
      <c r="B131" s="219" t="s">
        <v>9</v>
      </c>
      <c r="C131" s="16"/>
      <c r="D131" s="379">
        <f>SUM(D128:D130)</f>
        <v>200</v>
      </c>
      <c r="E131" s="400">
        <f>E128</f>
        <v>8.5</v>
      </c>
      <c r="F131" s="35">
        <f t="shared" ref="F131:G131" si="15">SUM(F128:F130)</f>
        <v>6</v>
      </c>
      <c r="G131" s="380">
        <f t="shared" si="15"/>
        <v>1700</v>
      </c>
      <c r="H131" s="401"/>
      <c r="I131" s="401"/>
      <c r="J131" s="401"/>
      <c r="K131" s="401"/>
      <c r="L131" s="401"/>
    </row>
    <row r="132" spans="1:14" s="20" customFormat="1" ht="18" hidden="1" customHeight="1" thickBot="1" x14ac:dyDescent="0.3">
      <c r="A132" s="6">
        <v>1</v>
      </c>
      <c r="B132" s="31" t="s">
        <v>116</v>
      </c>
      <c r="C132" s="383"/>
      <c r="D132" s="402">
        <f t="shared" ref="D132" si="16">D131</f>
        <v>200</v>
      </c>
      <c r="E132" s="403">
        <f t="shared" ref="E132:G132" si="17">E131</f>
        <v>8.5</v>
      </c>
      <c r="F132" s="386">
        <f t="shared" si="17"/>
        <v>6</v>
      </c>
      <c r="G132" s="386">
        <f t="shared" si="17"/>
        <v>1700</v>
      </c>
      <c r="H132" s="401"/>
      <c r="I132" s="401"/>
      <c r="J132" s="401"/>
      <c r="K132" s="401"/>
      <c r="L132" s="401"/>
      <c r="M132" s="401"/>
      <c r="N132" s="401"/>
    </row>
    <row r="133" spans="1:14" s="392" customFormat="1" ht="15.75" hidden="1" thickBot="1" x14ac:dyDescent="0.3">
      <c r="A133" s="6">
        <v>1</v>
      </c>
      <c r="B133" s="387" t="s">
        <v>10</v>
      </c>
      <c r="C133" s="388"/>
      <c r="D133" s="404"/>
      <c r="E133" s="405"/>
      <c r="F133" s="406"/>
      <c r="G133" s="407"/>
    </row>
    <row r="134" spans="1:14" hidden="1" x14ac:dyDescent="0.25">
      <c r="A134" s="6">
        <v>1</v>
      </c>
      <c r="B134" s="408"/>
      <c r="C134" s="394"/>
      <c r="D134" s="358"/>
      <c r="E134" s="13"/>
      <c r="F134" s="13"/>
      <c r="G134" s="13"/>
      <c r="H134" s="392"/>
      <c r="I134" s="392"/>
      <c r="J134" s="392"/>
      <c r="K134" s="392"/>
      <c r="L134" s="392"/>
      <c r="M134" s="392"/>
      <c r="N134" s="392"/>
    </row>
    <row r="135" spans="1:14" ht="24" customHeight="1" x14ac:dyDescent="0.25">
      <c r="A135" s="6">
        <v>1</v>
      </c>
      <c r="B135" s="725" t="s">
        <v>81</v>
      </c>
      <c r="C135" s="16"/>
      <c r="D135" s="358"/>
      <c r="E135" s="13"/>
      <c r="F135" s="13"/>
      <c r="G135" s="13"/>
    </row>
    <row r="136" spans="1:14" ht="18.75" customHeight="1" x14ac:dyDescent="0.25">
      <c r="A136" s="6">
        <v>1</v>
      </c>
      <c r="B136" s="356" t="s">
        <v>4</v>
      </c>
      <c r="C136" s="16"/>
      <c r="D136" s="358"/>
      <c r="E136" s="13"/>
      <c r="F136" s="13"/>
      <c r="G136" s="13"/>
    </row>
    <row r="137" spans="1:14" ht="29.25" customHeight="1" x14ac:dyDescent="0.25">
      <c r="A137" s="6">
        <v>1</v>
      </c>
      <c r="B137" s="36" t="s">
        <v>108</v>
      </c>
      <c r="C137" s="5">
        <v>300</v>
      </c>
      <c r="D137" s="13">
        <f>1460-20+85</f>
        <v>1525</v>
      </c>
      <c r="E137" s="14">
        <v>13.7</v>
      </c>
      <c r="F137" s="3">
        <f t="shared" ref="F137:F142" si="18">ROUND(G137/C137,0)</f>
        <v>70</v>
      </c>
      <c r="G137" s="13">
        <f t="shared" ref="G137:G143" si="19">ROUND(D137*E137,0)</f>
        <v>20893</v>
      </c>
    </row>
    <row r="138" spans="1:14" x14ac:dyDescent="0.25">
      <c r="A138" s="6">
        <v>1</v>
      </c>
      <c r="B138" s="36" t="s">
        <v>109</v>
      </c>
      <c r="C138" s="5">
        <v>300</v>
      </c>
      <c r="D138" s="13">
        <v>180</v>
      </c>
      <c r="E138" s="14">
        <v>13.3</v>
      </c>
      <c r="F138" s="3">
        <f t="shared" si="18"/>
        <v>8</v>
      </c>
      <c r="G138" s="13">
        <f t="shared" si="19"/>
        <v>2394</v>
      </c>
    </row>
    <row r="139" spans="1:14" ht="15.75" customHeight="1" x14ac:dyDescent="0.25">
      <c r="A139" s="6">
        <v>1</v>
      </c>
      <c r="B139" s="36" t="s">
        <v>28</v>
      </c>
      <c r="C139" s="5">
        <v>300</v>
      </c>
      <c r="D139" s="13">
        <v>3500</v>
      </c>
      <c r="E139" s="14">
        <v>5.6</v>
      </c>
      <c r="F139" s="3">
        <f t="shared" si="18"/>
        <v>65</v>
      </c>
      <c r="G139" s="13">
        <f t="shared" si="19"/>
        <v>19600</v>
      </c>
    </row>
    <row r="140" spans="1:14" x14ac:dyDescent="0.25">
      <c r="A140" s="6">
        <v>1</v>
      </c>
      <c r="B140" s="36" t="s">
        <v>23</v>
      </c>
      <c r="C140" s="5">
        <v>340</v>
      </c>
      <c r="D140" s="13">
        <v>2400</v>
      </c>
      <c r="E140" s="14">
        <v>7</v>
      </c>
      <c r="F140" s="3">
        <f t="shared" si="18"/>
        <v>49</v>
      </c>
      <c r="G140" s="13">
        <f t="shared" si="19"/>
        <v>16800</v>
      </c>
    </row>
    <row r="141" spans="1:14" x14ac:dyDescent="0.25">
      <c r="A141" s="6">
        <v>1</v>
      </c>
      <c r="B141" s="36" t="s">
        <v>24</v>
      </c>
      <c r="C141" s="5">
        <v>330</v>
      </c>
      <c r="D141" s="13">
        <v>1600</v>
      </c>
      <c r="E141" s="14">
        <v>7.6</v>
      </c>
      <c r="F141" s="3">
        <f t="shared" si="18"/>
        <v>37</v>
      </c>
      <c r="G141" s="13">
        <f t="shared" si="19"/>
        <v>12160</v>
      </c>
    </row>
    <row r="142" spans="1:14" x14ac:dyDescent="0.25">
      <c r="A142" s="6">
        <v>1</v>
      </c>
      <c r="B142" s="36" t="s">
        <v>183</v>
      </c>
      <c r="C142" s="5">
        <v>330</v>
      </c>
      <c r="D142" s="13">
        <v>400</v>
      </c>
      <c r="E142" s="14">
        <v>8</v>
      </c>
      <c r="F142" s="3">
        <f t="shared" si="18"/>
        <v>10</v>
      </c>
      <c r="G142" s="13">
        <f t="shared" si="19"/>
        <v>3200</v>
      </c>
    </row>
    <row r="143" spans="1:14" ht="9.75" customHeight="1" x14ac:dyDescent="0.25">
      <c r="A143" s="6">
        <v>1</v>
      </c>
      <c r="B143" s="36"/>
      <c r="C143" s="5"/>
      <c r="D143" s="358"/>
      <c r="E143" s="14"/>
      <c r="F143" s="3"/>
      <c r="G143" s="13">
        <f t="shared" si="19"/>
        <v>0</v>
      </c>
    </row>
    <row r="144" spans="1:14" s="20" customFormat="1" ht="17.25" customHeight="1" x14ac:dyDescent="0.25">
      <c r="A144" s="6">
        <v>1</v>
      </c>
      <c r="B144" s="15" t="s">
        <v>5</v>
      </c>
      <c r="C144" s="409"/>
      <c r="D144" s="18">
        <f>SUM(D137:D143)</f>
        <v>9605</v>
      </c>
      <c r="E144" s="17">
        <f>G144/D144</f>
        <v>7.813326392503904</v>
      </c>
      <c r="F144" s="18">
        <f>SUM(F137:F142)</f>
        <v>239</v>
      </c>
      <c r="G144" s="19">
        <f>SUM(G137:G143)</f>
        <v>75047</v>
      </c>
    </row>
    <row r="145" spans="1:7" s="20" customFormat="1" ht="17.25" customHeight="1" x14ac:dyDescent="0.25">
      <c r="A145" s="6">
        <v>1</v>
      </c>
      <c r="B145" s="37" t="s">
        <v>185</v>
      </c>
      <c r="C145" s="38"/>
      <c r="D145" s="358"/>
      <c r="E145" s="3"/>
      <c r="F145" s="3"/>
      <c r="G145" s="13"/>
    </row>
    <row r="146" spans="1:7" s="20" customFormat="1" ht="30" customHeight="1" x14ac:dyDescent="0.25">
      <c r="A146" s="6">
        <v>1</v>
      </c>
      <c r="B146" s="23" t="s">
        <v>321</v>
      </c>
      <c r="C146" s="38"/>
      <c r="D146" s="358">
        <f>D147+D148</f>
        <v>34069</v>
      </c>
      <c r="E146" s="3"/>
      <c r="F146" s="3"/>
      <c r="G146" s="13"/>
    </row>
    <row r="147" spans="1:7" s="20" customFormat="1" ht="45" x14ac:dyDescent="0.25">
      <c r="A147" s="6">
        <v>1</v>
      </c>
      <c r="B147" s="398" t="s">
        <v>221</v>
      </c>
      <c r="C147" s="38"/>
      <c r="D147" s="358">
        <v>6000</v>
      </c>
      <c r="E147" s="3"/>
      <c r="F147" s="3"/>
      <c r="G147" s="13"/>
    </row>
    <row r="148" spans="1:7" s="20" customFormat="1" x14ac:dyDescent="0.25">
      <c r="A148" s="6">
        <v>1</v>
      </c>
      <c r="B148" s="210" t="s">
        <v>223</v>
      </c>
      <c r="C148" s="38"/>
      <c r="D148" s="358">
        <v>28069</v>
      </c>
      <c r="E148" s="3"/>
      <c r="F148" s="3"/>
      <c r="G148" s="13"/>
    </row>
    <row r="149" spans="1:7" s="20" customFormat="1" x14ac:dyDescent="0.25">
      <c r="A149" s="6">
        <v>1</v>
      </c>
      <c r="B149" s="24" t="s">
        <v>118</v>
      </c>
      <c r="C149" s="38"/>
      <c r="D149" s="358">
        <v>7600</v>
      </c>
      <c r="E149" s="3"/>
      <c r="F149" s="3"/>
      <c r="G149" s="13"/>
    </row>
    <row r="150" spans="1:7" s="20" customFormat="1" ht="30" x14ac:dyDescent="0.25">
      <c r="A150" s="6">
        <v>1</v>
      </c>
      <c r="B150" s="24" t="s">
        <v>119</v>
      </c>
      <c r="C150" s="38"/>
      <c r="D150" s="358">
        <f>D151+D152</f>
        <v>92</v>
      </c>
      <c r="E150" s="3"/>
      <c r="F150" s="3"/>
      <c r="G150" s="13"/>
    </row>
    <row r="151" spans="1:7" s="20" customFormat="1" x14ac:dyDescent="0.25">
      <c r="A151" s="6">
        <v>1</v>
      </c>
      <c r="B151" s="24"/>
      <c r="C151" s="38"/>
      <c r="D151" s="358"/>
      <c r="E151" s="3"/>
      <c r="F151" s="3"/>
      <c r="G151" s="13"/>
    </row>
    <row r="152" spans="1:7" s="20" customFormat="1" ht="30" x14ac:dyDescent="0.25">
      <c r="A152" s="6">
        <v>1</v>
      </c>
      <c r="B152" s="24" t="s">
        <v>258</v>
      </c>
      <c r="C152" s="38"/>
      <c r="D152" s="358">
        <v>92</v>
      </c>
      <c r="E152" s="3"/>
      <c r="F152" s="3"/>
      <c r="G152" s="13"/>
    </row>
    <row r="153" spans="1:7" s="20" customFormat="1" ht="55.5" customHeight="1" x14ac:dyDescent="0.25">
      <c r="A153" s="6">
        <v>1</v>
      </c>
      <c r="B153" s="24" t="s">
        <v>296</v>
      </c>
      <c r="C153" s="38"/>
      <c r="D153" s="358">
        <v>1000</v>
      </c>
      <c r="E153" s="3"/>
      <c r="F153" s="3"/>
      <c r="G153" s="13"/>
    </row>
    <row r="154" spans="1:7" s="20" customFormat="1" ht="27.75" customHeight="1" x14ac:dyDescent="0.25">
      <c r="A154" s="6">
        <v>1</v>
      </c>
      <c r="B154" s="212" t="s">
        <v>151</v>
      </c>
      <c r="C154" s="38"/>
      <c r="D154" s="366">
        <f>D146+ROUND(D149*3.2,0)+D150+D153</f>
        <v>59481</v>
      </c>
      <c r="E154" s="3"/>
      <c r="F154" s="3"/>
      <c r="G154" s="13"/>
    </row>
    <row r="155" spans="1:7" s="20" customFormat="1" x14ac:dyDescent="0.25">
      <c r="A155" s="6">
        <v>1</v>
      </c>
      <c r="B155" s="410" t="s">
        <v>120</v>
      </c>
      <c r="C155" s="38"/>
      <c r="D155" s="367">
        <f>SUM(D156:D180)</f>
        <v>71025</v>
      </c>
      <c r="E155" s="3"/>
      <c r="F155" s="3"/>
      <c r="G155" s="13"/>
    </row>
    <row r="156" spans="1:7" s="20" customFormat="1" ht="30" x14ac:dyDescent="0.25">
      <c r="A156" s="6">
        <v>1</v>
      </c>
      <c r="B156" s="24" t="s">
        <v>233</v>
      </c>
      <c r="C156" s="38"/>
      <c r="D156" s="358">
        <v>7000</v>
      </c>
      <c r="E156" s="3"/>
      <c r="F156" s="3"/>
      <c r="G156" s="13"/>
    </row>
    <row r="157" spans="1:7" s="20" customFormat="1" ht="30" x14ac:dyDescent="0.25">
      <c r="A157" s="6">
        <v>1</v>
      </c>
      <c r="B157" s="24" t="s">
        <v>234</v>
      </c>
      <c r="C157" s="38"/>
      <c r="D157" s="358">
        <v>5675</v>
      </c>
      <c r="E157" s="3"/>
      <c r="F157" s="3"/>
      <c r="G157" s="13"/>
    </row>
    <row r="158" spans="1:7" s="20" customFormat="1" x14ac:dyDescent="0.25">
      <c r="A158" s="6">
        <v>1</v>
      </c>
      <c r="B158" s="24" t="s">
        <v>17</v>
      </c>
      <c r="C158" s="38"/>
      <c r="D158" s="358">
        <v>2114</v>
      </c>
      <c r="E158" s="3"/>
      <c r="F158" s="3"/>
      <c r="G158" s="13"/>
    </row>
    <row r="159" spans="1:7" s="20" customFormat="1" x14ac:dyDescent="0.25">
      <c r="A159" s="6">
        <v>1</v>
      </c>
      <c r="B159" s="24" t="s">
        <v>55</v>
      </c>
      <c r="C159" s="38"/>
      <c r="D159" s="358">
        <v>2800</v>
      </c>
      <c r="E159" s="3"/>
      <c r="F159" s="3"/>
      <c r="G159" s="13"/>
    </row>
    <row r="160" spans="1:7" s="20" customFormat="1" x14ac:dyDescent="0.25">
      <c r="A160" s="6">
        <v>1</v>
      </c>
      <c r="B160" s="24" t="s">
        <v>19</v>
      </c>
      <c r="C160" s="38"/>
      <c r="D160" s="358">
        <v>7000</v>
      </c>
      <c r="E160" s="3"/>
      <c r="F160" s="3"/>
      <c r="G160" s="13"/>
    </row>
    <row r="161" spans="1:7" s="20" customFormat="1" ht="30" x14ac:dyDescent="0.25">
      <c r="A161" s="6">
        <v>1</v>
      </c>
      <c r="B161" s="24" t="s">
        <v>162</v>
      </c>
      <c r="C161" s="38"/>
      <c r="D161" s="358">
        <v>160</v>
      </c>
      <c r="E161" s="3"/>
      <c r="F161" s="3"/>
      <c r="G161" s="13"/>
    </row>
    <row r="162" spans="1:7" s="20" customFormat="1" x14ac:dyDescent="0.25">
      <c r="A162" s="6">
        <v>1</v>
      </c>
      <c r="B162" s="24" t="s">
        <v>270</v>
      </c>
      <c r="C162" s="38"/>
      <c r="D162" s="358">
        <v>3385</v>
      </c>
      <c r="E162" s="3"/>
      <c r="F162" s="3"/>
      <c r="G162" s="13"/>
    </row>
    <row r="163" spans="1:7" s="20" customFormat="1" ht="30" x14ac:dyDescent="0.25">
      <c r="A163" s="6">
        <v>1</v>
      </c>
      <c r="B163" s="24" t="s">
        <v>271</v>
      </c>
      <c r="C163" s="38"/>
      <c r="D163" s="358">
        <v>50</v>
      </c>
      <c r="E163" s="3"/>
      <c r="F163" s="3"/>
      <c r="G163" s="13"/>
    </row>
    <row r="164" spans="1:7" s="20" customFormat="1" x14ac:dyDescent="0.25">
      <c r="A164" s="6">
        <v>1</v>
      </c>
      <c r="B164" s="24" t="s">
        <v>269</v>
      </c>
      <c r="C164" s="38"/>
      <c r="D164" s="358">
        <v>15100</v>
      </c>
      <c r="E164" s="3"/>
      <c r="F164" s="3"/>
      <c r="G164" s="13"/>
    </row>
    <row r="165" spans="1:7" s="20" customFormat="1" x14ac:dyDescent="0.25">
      <c r="A165" s="6">
        <v>1</v>
      </c>
      <c r="B165" s="24" t="s">
        <v>163</v>
      </c>
      <c r="C165" s="38"/>
      <c r="D165" s="358">
        <v>1220</v>
      </c>
      <c r="E165" s="3"/>
      <c r="F165" s="3"/>
      <c r="G165" s="13"/>
    </row>
    <row r="166" spans="1:7" s="20" customFormat="1" x14ac:dyDescent="0.25">
      <c r="A166" s="6">
        <v>1</v>
      </c>
      <c r="B166" s="24" t="s">
        <v>52</v>
      </c>
      <c r="C166" s="38"/>
      <c r="D166" s="358">
        <v>300</v>
      </c>
      <c r="E166" s="3"/>
      <c r="F166" s="3"/>
      <c r="G166" s="13"/>
    </row>
    <row r="167" spans="1:7" s="20" customFormat="1" x14ac:dyDescent="0.25">
      <c r="A167" s="6">
        <v>1</v>
      </c>
      <c r="B167" s="24" t="s">
        <v>56</v>
      </c>
      <c r="C167" s="38"/>
      <c r="D167" s="358">
        <v>410</v>
      </c>
      <c r="E167" s="3"/>
      <c r="F167" s="3"/>
      <c r="G167" s="13"/>
    </row>
    <row r="168" spans="1:7" s="20" customFormat="1" ht="30" x14ac:dyDescent="0.25">
      <c r="A168" s="6">
        <v>1</v>
      </c>
      <c r="B168" s="24" t="s">
        <v>272</v>
      </c>
      <c r="C168" s="38"/>
      <c r="D168" s="358">
        <v>60</v>
      </c>
      <c r="E168" s="3"/>
      <c r="F168" s="3"/>
      <c r="G168" s="13"/>
    </row>
    <row r="169" spans="1:7" s="20" customFormat="1" ht="15" customHeight="1" x14ac:dyDescent="0.25">
      <c r="A169" s="6">
        <v>1</v>
      </c>
      <c r="B169" s="24" t="s">
        <v>235</v>
      </c>
      <c r="C169" s="38"/>
      <c r="D169" s="358">
        <v>2176</v>
      </c>
      <c r="E169" s="3"/>
      <c r="F169" s="3"/>
      <c r="G169" s="13"/>
    </row>
    <row r="170" spans="1:7" s="20" customFormat="1" ht="45" x14ac:dyDescent="0.25">
      <c r="A170" s="6">
        <v>1</v>
      </c>
      <c r="B170" s="24" t="s">
        <v>236</v>
      </c>
      <c r="C170" s="38"/>
      <c r="D170" s="358">
        <v>650</v>
      </c>
      <c r="E170" s="3"/>
      <c r="F170" s="3"/>
      <c r="G170" s="13"/>
    </row>
    <row r="171" spans="1:7" s="20" customFormat="1" x14ac:dyDescent="0.25">
      <c r="A171" s="6">
        <v>1</v>
      </c>
      <c r="B171" s="24" t="s">
        <v>18</v>
      </c>
      <c r="C171" s="38"/>
      <c r="D171" s="358">
        <v>5410</v>
      </c>
      <c r="E171" s="3"/>
      <c r="F171" s="3"/>
      <c r="G171" s="13"/>
    </row>
    <row r="172" spans="1:7" s="20" customFormat="1" x14ac:dyDescent="0.25">
      <c r="A172" s="6">
        <v>1</v>
      </c>
      <c r="B172" s="24" t="s">
        <v>160</v>
      </c>
      <c r="C172" s="38"/>
      <c r="D172" s="358">
        <v>10955</v>
      </c>
      <c r="E172" s="3"/>
      <c r="F172" s="3"/>
      <c r="G172" s="13"/>
    </row>
    <row r="173" spans="1:7" s="20" customFormat="1" x14ac:dyDescent="0.25">
      <c r="A173" s="6">
        <v>1</v>
      </c>
      <c r="B173" s="24" t="s">
        <v>16</v>
      </c>
      <c r="C173" s="38"/>
      <c r="D173" s="358">
        <v>310</v>
      </c>
      <c r="E173" s="3"/>
      <c r="F173" s="3"/>
      <c r="G173" s="13"/>
    </row>
    <row r="174" spans="1:7" s="20" customFormat="1" x14ac:dyDescent="0.25">
      <c r="A174" s="6">
        <v>1</v>
      </c>
      <c r="B174" s="24" t="s">
        <v>53</v>
      </c>
      <c r="C174" s="38"/>
      <c r="D174" s="358">
        <v>3000</v>
      </c>
      <c r="E174" s="3"/>
      <c r="F174" s="3"/>
      <c r="G174" s="13"/>
    </row>
    <row r="175" spans="1:7" s="20" customFormat="1" x14ac:dyDescent="0.25">
      <c r="A175" s="6">
        <v>1</v>
      </c>
      <c r="B175" s="24" t="s">
        <v>161</v>
      </c>
      <c r="C175" s="38"/>
      <c r="D175" s="358">
        <v>900</v>
      </c>
      <c r="E175" s="3"/>
      <c r="F175" s="3"/>
      <c r="G175" s="13"/>
    </row>
    <row r="176" spans="1:7" s="20" customFormat="1" x14ac:dyDescent="0.25">
      <c r="A176" s="6">
        <v>1</v>
      </c>
      <c r="B176" s="24" t="s">
        <v>228</v>
      </c>
      <c r="C176" s="38"/>
      <c r="D176" s="358">
        <v>250</v>
      </c>
      <c r="E176" s="3"/>
      <c r="F176" s="3"/>
      <c r="G176" s="13"/>
    </row>
    <row r="177" spans="1:7" s="20" customFormat="1" ht="62.25" customHeight="1" x14ac:dyDescent="0.25">
      <c r="A177" s="6">
        <v>1</v>
      </c>
      <c r="B177" s="24" t="s">
        <v>288</v>
      </c>
      <c r="C177" s="38"/>
      <c r="D177" s="358">
        <v>1000</v>
      </c>
      <c r="E177" s="3"/>
      <c r="F177" s="3"/>
      <c r="G177" s="13"/>
    </row>
    <row r="178" spans="1:7" s="20" customFormat="1" ht="60.75" customHeight="1" x14ac:dyDescent="0.25">
      <c r="A178" s="6">
        <v>1</v>
      </c>
      <c r="B178" s="24" t="s">
        <v>287</v>
      </c>
      <c r="C178" s="38"/>
      <c r="D178" s="358">
        <v>1000</v>
      </c>
      <c r="E178" s="3"/>
      <c r="F178" s="3"/>
      <c r="G178" s="13"/>
    </row>
    <row r="179" spans="1:7" s="20" customFormat="1" ht="54" customHeight="1" x14ac:dyDescent="0.25">
      <c r="A179" s="6">
        <v>1</v>
      </c>
      <c r="B179" s="24" t="s">
        <v>289</v>
      </c>
      <c r="C179" s="38"/>
      <c r="D179" s="358">
        <v>50</v>
      </c>
      <c r="E179" s="3"/>
      <c r="F179" s="3"/>
      <c r="G179" s="13"/>
    </row>
    <row r="180" spans="1:7" s="20" customFormat="1" ht="63" customHeight="1" x14ac:dyDescent="0.25">
      <c r="A180" s="6">
        <v>1</v>
      </c>
      <c r="B180" s="24" t="s">
        <v>290</v>
      </c>
      <c r="C180" s="38"/>
      <c r="D180" s="358">
        <v>50</v>
      </c>
      <c r="E180" s="3"/>
      <c r="F180" s="3"/>
      <c r="G180" s="13"/>
    </row>
    <row r="181" spans="1:7" s="20" customFormat="1" ht="45" x14ac:dyDescent="0.25">
      <c r="A181" s="6">
        <v>1</v>
      </c>
      <c r="B181" s="24" t="s">
        <v>317</v>
      </c>
      <c r="C181" s="38"/>
      <c r="D181" s="358"/>
      <c r="E181" s="3"/>
      <c r="F181" s="3"/>
      <c r="G181" s="13"/>
    </row>
    <row r="182" spans="1:7" s="20" customFormat="1" ht="15.75" x14ac:dyDescent="0.25">
      <c r="A182" s="6">
        <v>1</v>
      </c>
      <c r="B182" s="27" t="s">
        <v>7</v>
      </c>
      <c r="C182" s="16"/>
      <c r="D182" s="358"/>
      <c r="E182" s="3"/>
      <c r="F182" s="3"/>
      <c r="G182" s="13"/>
    </row>
    <row r="183" spans="1:7" s="20" customFormat="1" ht="15.75" x14ac:dyDescent="0.25">
      <c r="A183" s="6">
        <v>1</v>
      </c>
      <c r="B183" s="371" t="s">
        <v>139</v>
      </c>
      <c r="C183" s="16"/>
      <c r="D183" s="358"/>
      <c r="E183" s="3"/>
      <c r="F183" s="3"/>
      <c r="G183" s="13"/>
    </row>
    <row r="184" spans="1:7" s="20" customFormat="1" x14ac:dyDescent="0.25">
      <c r="A184" s="6">
        <v>1</v>
      </c>
      <c r="B184" s="36" t="s">
        <v>146</v>
      </c>
      <c r="C184" s="5">
        <v>300</v>
      </c>
      <c r="D184" s="411">
        <v>900</v>
      </c>
      <c r="E184" s="14">
        <v>18</v>
      </c>
      <c r="F184" s="3">
        <f>ROUND(G184/C184,0)</f>
        <v>54</v>
      </c>
      <c r="G184" s="13">
        <f>ROUND(D184*E184,0)</f>
        <v>16200</v>
      </c>
    </row>
    <row r="185" spans="1:7" s="20" customFormat="1" ht="15.75" x14ac:dyDescent="0.25">
      <c r="A185" s="6">
        <v>1</v>
      </c>
      <c r="B185" s="219" t="s">
        <v>9</v>
      </c>
      <c r="C185" s="16"/>
      <c r="D185" s="363">
        <f>D184</f>
        <v>900</v>
      </c>
      <c r="E185" s="376">
        <f>G185/D185</f>
        <v>18</v>
      </c>
      <c r="F185" s="380">
        <f>F184</f>
        <v>54</v>
      </c>
      <c r="G185" s="380">
        <f>G184</f>
        <v>16200</v>
      </c>
    </row>
    <row r="186" spans="1:7" s="20" customFormat="1" ht="20.25" customHeight="1" x14ac:dyDescent="0.25">
      <c r="A186" s="6">
        <v>1</v>
      </c>
      <c r="B186" s="371" t="s">
        <v>20</v>
      </c>
      <c r="C186" s="5"/>
      <c r="D186" s="358"/>
      <c r="E186" s="14"/>
      <c r="F186" s="3"/>
      <c r="G186" s="13"/>
    </row>
    <row r="187" spans="1:7" s="20" customFormat="1" ht="18.75" customHeight="1" x14ac:dyDescent="0.25">
      <c r="A187" s="6">
        <v>1</v>
      </c>
      <c r="B187" s="30" t="s">
        <v>24</v>
      </c>
      <c r="C187" s="5">
        <v>240</v>
      </c>
      <c r="D187" s="13">
        <v>570</v>
      </c>
      <c r="E187" s="14">
        <v>7</v>
      </c>
      <c r="F187" s="3">
        <f>ROUND(G187/C187,0)</f>
        <v>17</v>
      </c>
      <c r="G187" s="13">
        <f>ROUND(D187*E187,0)</f>
        <v>3990</v>
      </c>
    </row>
    <row r="188" spans="1:7" s="20" customFormat="1" ht="18.75" customHeight="1" x14ac:dyDescent="0.25">
      <c r="A188" s="6">
        <v>1</v>
      </c>
      <c r="B188" s="30" t="s">
        <v>23</v>
      </c>
      <c r="C188" s="5">
        <v>240</v>
      </c>
      <c r="D188" s="13">
        <v>420</v>
      </c>
      <c r="E188" s="14">
        <v>4</v>
      </c>
      <c r="F188" s="3">
        <f>ROUND(G188/C188,0)</f>
        <v>7</v>
      </c>
      <c r="G188" s="13">
        <f>ROUND(D188*E188,0)</f>
        <v>1680</v>
      </c>
    </row>
    <row r="189" spans="1:7" s="20" customFormat="1" ht="18.75" customHeight="1" x14ac:dyDescent="0.25">
      <c r="A189" s="6">
        <v>1</v>
      </c>
      <c r="B189" s="219" t="s">
        <v>141</v>
      </c>
      <c r="C189" s="412"/>
      <c r="D189" s="19">
        <f>SUM(D187:D188)</f>
        <v>990</v>
      </c>
      <c r="E189" s="376">
        <f>G189/D189</f>
        <v>5.7272727272727275</v>
      </c>
      <c r="F189" s="380">
        <f t="shared" ref="F189:G189" si="20">SUM(F187:F188)</f>
        <v>24</v>
      </c>
      <c r="G189" s="380">
        <f t="shared" si="20"/>
        <v>5670</v>
      </c>
    </row>
    <row r="190" spans="1:7" s="20" customFormat="1" ht="24.75" customHeight="1" x14ac:dyDescent="0.25">
      <c r="A190" s="6">
        <v>1</v>
      </c>
      <c r="B190" s="31" t="s">
        <v>116</v>
      </c>
      <c r="C190" s="381"/>
      <c r="D190" s="380">
        <f>D189+D185</f>
        <v>1890</v>
      </c>
      <c r="E190" s="413">
        <f>G190/D190</f>
        <v>11.571428571428571</v>
      </c>
      <c r="F190" s="414">
        <f>F189+F185</f>
        <v>78</v>
      </c>
      <c r="G190" s="414">
        <f>G189+G185</f>
        <v>21870</v>
      </c>
    </row>
    <row r="191" spans="1:7" s="20" customFormat="1" ht="15.75" x14ac:dyDescent="0.25">
      <c r="A191" s="6"/>
      <c r="B191" s="32" t="s">
        <v>313</v>
      </c>
      <c r="C191" s="381"/>
      <c r="D191" s="367">
        <v>19</v>
      </c>
      <c r="E191" s="17"/>
      <c r="F191" s="19"/>
      <c r="G191" s="19"/>
    </row>
    <row r="192" spans="1:7" s="20" customFormat="1" ht="31.5" x14ac:dyDescent="0.25">
      <c r="A192" s="6"/>
      <c r="B192" s="32" t="s">
        <v>314</v>
      </c>
      <c r="C192" s="381"/>
      <c r="D192" s="367">
        <v>7</v>
      </c>
      <c r="E192" s="17"/>
      <c r="F192" s="19"/>
      <c r="G192" s="19"/>
    </row>
    <row r="193" spans="1:7" s="20" customFormat="1" ht="15.75" x14ac:dyDescent="0.25">
      <c r="A193" s="6"/>
      <c r="B193" s="32" t="s">
        <v>315</v>
      </c>
      <c r="C193" s="381"/>
      <c r="D193" s="367">
        <v>9</v>
      </c>
      <c r="E193" s="17"/>
      <c r="F193" s="19"/>
      <c r="G193" s="19"/>
    </row>
    <row r="194" spans="1:7" s="20" customFormat="1" ht="15.75" x14ac:dyDescent="0.25">
      <c r="A194" s="6"/>
      <c r="B194" s="32" t="s">
        <v>145</v>
      </c>
      <c r="C194" s="381"/>
      <c r="D194" s="367">
        <v>2</v>
      </c>
      <c r="E194" s="17"/>
      <c r="F194" s="19"/>
      <c r="G194" s="19"/>
    </row>
    <row r="195" spans="1:7" s="20" customFormat="1" ht="31.5" x14ac:dyDescent="0.25">
      <c r="A195" s="6"/>
      <c r="B195" s="32" t="s">
        <v>337</v>
      </c>
      <c r="C195" s="381"/>
      <c r="D195" s="367">
        <v>11</v>
      </c>
      <c r="E195" s="17"/>
      <c r="F195" s="19"/>
      <c r="G195" s="19"/>
    </row>
    <row r="196" spans="1:7" s="20" customFormat="1" ht="15.75" x14ac:dyDescent="0.25">
      <c r="A196" s="6"/>
      <c r="B196" s="32" t="s">
        <v>338</v>
      </c>
      <c r="C196" s="381"/>
      <c r="D196" s="367">
        <v>10</v>
      </c>
      <c r="E196" s="17"/>
      <c r="F196" s="19"/>
      <c r="G196" s="19"/>
    </row>
    <row r="197" spans="1:7" s="20" customFormat="1" ht="16.5" thickBot="1" x14ac:dyDescent="0.3">
      <c r="A197" s="6"/>
      <c r="B197" s="32" t="s">
        <v>339</v>
      </c>
      <c r="C197" s="381"/>
      <c r="D197" s="367">
        <v>15</v>
      </c>
      <c r="E197" s="17"/>
      <c r="F197" s="19"/>
      <c r="G197" s="19"/>
    </row>
    <row r="198" spans="1:7" s="392" customFormat="1" ht="16.5" customHeight="1" thickBot="1" x14ac:dyDescent="0.3">
      <c r="A198" s="6">
        <v>1</v>
      </c>
      <c r="B198" s="387" t="s">
        <v>10</v>
      </c>
      <c r="C198" s="388"/>
      <c r="D198" s="415"/>
      <c r="E198" s="391"/>
      <c r="F198" s="390"/>
      <c r="G198" s="416"/>
    </row>
    <row r="199" spans="1:7" ht="16.5" hidden="1" customHeight="1" x14ac:dyDescent="0.25">
      <c r="A199" s="6">
        <v>1</v>
      </c>
      <c r="B199" s="408"/>
      <c r="C199" s="394"/>
      <c r="D199" s="358"/>
      <c r="E199" s="13"/>
      <c r="F199" s="13"/>
      <c r="G199" s="13"/>
    </row>
    <row r="200" spans="1:7" ht="29.25" hidden="1" x14ac:dyDescent="0.25">
      <c r="A200" s="6">
        <v>1</v>
      </c>
      <c r="B200" s="395" t="s">
        <v>136</v>
      </c>
      <c r="C200" s="5"/>
      <c r="D200" s="358"/>
      <c r="E200" s="13"/>
      <c r="F200" s="13"/>
      <c r="G200" s="13"/>
    </row>
    <row r="201" spans="1:7" ht="16.5" hidden="1" customHeight="1" x14ac:dyDescent="0.25">
      <c r="A201" s="6">
        <v>1</v>
      </c>
      <c r="B201" s="356" t="s">
        <v>4</v>
      </c>
      <c r="C201" s="5"/>
      <c r="D201" s="358"/>
      <c r="E201" s="13"/>
      <c r="F201" s="13"/>
      <c r="G201" s="13"/>
    </row>
    <row r="202" spans="1:7" ht="16.5" hidden="1" customHeight="1" x14ac:dyDescent="0.25">
      <c r="A202" s="6">
        <v>1</v>
      </c>
      <c r="B202" s="4" t="s">
        <v>11</v>
      </c>
      <c r="C202" s="5">
        <v>320</v>
      </c>
      <c r="D202" s="13">
        <v>1737</v>
      </c>
      <c r="E202" s="14">
        <v>7</v>
      </c>
      <c r="F202" s="3">
        <f t="shared" ref="F202:F215" si="21">ROUND(G202/C202,0)</f>
        <v>38</v>
      </c>
      <c r="G202" s="13">
        <f t="shared" ref="G202:G215" si="22">ROUND(D202*E202,0)</f>
        <v>12159</v>
      </c>
    </row>
    <row r="203" spans="1:7" ht="18" hidden="1" customHeight="1" x14ac:dyDescent="0.25">
      <c r="A203" s="6">
        <v>1</v>
      </c>
      <c r="B203" s="4" t="s">
        <v>60</v>
      </c>
      <c r="C203" s="5">
        <v>320</v>
      </c>
      <c r="D203" s="13">
        <v>260</v>
      </c>
      <c r="E203" s="14">
        <v>9</v>
      </c>
      <c r="F203" s="3">
        <f t="shared" si="21"/>
        <v>7</v>
      </c>
      <c r="G203" s="13">
        <f t="shared" si="22"/>
        <v>2340</v>
      </c>
    </row>
    <row r="204" spans="1:7" ht="18" hidden="1" customHeight="1" x14ac:dyDescent="0.25">
      <c r="A204" s="6">
        <v>1</v>
      </c>
      <c r="B204" s="4" t="s">
        <v>12</v>
      </c>
      <c r="C204" s="5">
        <v>320</v>
      </c>
      <c r="D204" s="13">
        <v>1045</v>
      </c>
      <c r="E204" s="14">
        <v>7</v>
      </c>
      <c r="F204" s="3">
        <f t="shared" si="21"/>
        <v>23</v>
      </c>
      <c r="G204" s="13">
        <f t="shared" si="22"/>
        <v>7315</v>
      </c>
    </row>
    <row r="205" spans="1:7" ht="15.75" hidden="1" customHeight="1" x14ac:dyDescent="0.25">
      <c r="A205" s="6">
        <v>1</v>
      </c>
      <c r="B205" s="4" t="s">
        <v>35</v>
      </c>
      <c r="C205" s="5">
        <v>320</v>
      </c>
      <c r="D205" s="13">
        <v>495</v>
      </c>
      <c r="E205" s="14">
        <v>14</v>
      </c>
      <c r="F205" s="3">
        <f t="shared" si="21"/>
        <v>22</v>
      </c>
      <c r="G205" s="13">
        <f t="shared" si="22"/>
        <v>6930</v>
      </c>
    </row>
    <row r="206" spans="1:7" ht="15.75" hidden="1" customHeight="1" x14ac:dyDescent="0.25">
      <c r="A206" s="6">
        <v>1</v>
      </c>
      <c r="B206" s="4" t="s">
        <v>34</v>
      </c>
      <c r="C206" s="5">
        <v>320</v>
      </c>
      <c r="D206" s="13">
        <v>250</v>
      </c>
      <c r="E206" s="14">
        <v>10</v>
      </c>
      <c r="F206" s="3">
        <f t="shared" si="21"/>
        <v>8</v>
      </c>
      <c r="G206" s="13">
        <f t="shared" si="22"/>
        <v>2500</v>
      </c>
    </row>
    <row r="207" spans="1:7" ht="18.75" hidden="1" customHeight="1" x14ac:dyDescent="0.25">
      <c r="A207" s="6">
        <v>1</v>
      </c>
      <c r="B207" s="4" t="s">
        <v>63</v>
      </c>
      <c r="C207" s="5">
        <v>320</v>
      </c>
      <c r="D207" s="13">
        <v>425</v>
      </c>
      <c r="E207" s="14">
        <v>13</v>
      </c>
      <c r="F207" s="3">
        <f t="shared" si="21"/>
        <v>17</v>
      </c>
      <c r="G207" s="13">
        <f t="shared" si="22"/>
        <v>5525</v>
      </c>
    </row>
    <row r="208" spans="1:7" ht="18" hidden="1" customHeight="1" x14ac:dyDescent="0.25">
      <c r="A208" s="6">
        <v>1</v>
      </c>
      <c r="B208" s="4" t="s">
        <v>68</v>
      </c>
      <c r="C208" s="5">
        <v>320</v>
      </c>
      <c r="D208" s="13">
        <v>115</v>
      </c>
      <c r="E208" s="14">
        <v>14.5</v>
      </c>
      <c r="F208" s="3">
        <f t="shared" si="21"/>
        <v>5</v>
      </c>
      <c r="G208" s="13">
        <f t="shared" si="22"/>
        <v>1668</v>
      </c>
    </row>
    <row r="209" spans="1:8" ht="15.75" hidden="1" customHeight="1" x14ac:dyDescent="0.25">
      <c r="A209" s="6">
        <v>1</v>
      </c>
      <c r="B209" s="4" t="s">
        <v>69</v>
      </c>
      <c r="C209" s="5">
        <v>320</v>
      </c>
      <c r="D209" s="13">
        <v>96</v>
      </c>
      <c r="E209" s="14">
        <v>9</v>
      </c>
      <c r="F209" s="3">
        <f t="shared" si="21"/>
        <v>3</v>
      </c>
      <c r="G209" s="13">
        <f t="shared" si="22"/>
        <v>864</v>
      </c>
    </row>
    <row r="210" spans="1:8" ht="18" hidden="1" customHeight="1" x14ac:dyDescent="0.25">
      <c r="A210" s="6">
        <v>1</v>
      </c>
      <c r="B210" s="4" t="s">
        <v>44</v>
      </c>
      <c r="C210" s="5">
        <v>320</v>
      </c>
      <c r="D210" s="13">
        <v>235</v>
      </c>
      <c r="E210" s="14">
        <v>15.5</v>
      </c>
      <c r="F210" s="3">
        <f t="shared" si="21"/>
        <v>11</v>
      </c>
      <c r="G210" s="13">
        <f t="shared" si="22"/>
        <v>3643</v>
      </c>
    </row>
    <row r="211" spans="1:8" ht="15.75" hidden="1" customHeight="1" x14ac:dyDescent="0.25">
      <c r="A211" s="6">
        <v>1</v>
      </c>
      <c r="B211" s="4" t="s">
        <v>62</v>
      </c>
      <c r="C211" s="5">
        <v>320</v>
      </c>
      <c r="D211" s="13">
        <v>500</v>
      </c>
      <c r="E211" s="14">
        <v>13</v>
      </c>
      <c r="F211" s="3">
        <f t="shared" si="21"/>
        <v>20</v>
      </c>
      <c r="G211" s="13">
        <f t="shared" si="22"/>
        <v>6500</v>
      </c>
    </row>
    <row r="212" spans="1:8" ht="15.75" hidden="1" customHeight="1" x14ac:dyDescent="0.25">
      <c r="A212" s="6">
        <v>1</v>
      </c>
      <c r="B212" s="4" t="s">
        <v>58</v>
      </c>
      <c r="C212" s="5">
        <v>320</v>
      </c>
      <c r="D212" s="13">
        <v>770</v>
      </c>
      <c r="E212" s="14">
        <v>11</v>
      </c>
      <c r="F212" s="3">
        <f t="shared" si="21"/>
        <v>26</v>
      </c>
      <c r="G212" s="13">
        <f t="shared" si="22"/>
        <v>8470</v>
      </c>
    </row>
    <row r="213" spans="1:8" ht="18" hidden="1" customHeight="1" x14ac:dyDescent="0.25">
      <c r="A213" s="6">
        <v>1</v>
      </c>
      <c r="B213" s="4" t="s">
        <v>70</v>
      </c>
      <c r="C213" s="5">
        <v>320</v>
      </c>
      <c r="D213" s="13">
        <v>295</v>
      </c>
      <c r="E213" s="14">
        <v>23.5</v>
      </c>
      <c r="F213" s="3">
        <f t="shared" si="21"/>
        <v>22</v>
      </c>
      <c r="G213" s="13">
        <f t="shared" si="22"/>
        <v>6933</v>
      </c>
    </row>
    <row r="214" spans="1:8" ht="18" hidden="1" customHeight="1" x14ac:dyDescent="0.25">
      <c r="A214" s="6">
        <v>1</v>
      </c>
      <c r="B214" s="4" t="s">
        <v>190</v>
      </c>
      <c r="C214" s="5">
        <v>320</v>
      </c>
      <c r="D214" s="13">
        <v>997</v>
      </c>
      <c r="E214" s="396">
        <v>13.5</v>
      </c>
      <c r="F214" s="3">
        <f t="shared" si="21"/>
        <v>42</v>
      </c>
      <c r="G214" s="13">
        <f t="shared" si="22"/>
        <v>13460</v>
      </c>
    </row>
    <row r="215" spans="1:8" ht="15.75" hidden="1" customHeight="1" x14ac:dyDescent="0.25">
      <c r="A215" s="6">
        <v>1</v>
      </c>
      <c r="B215" s="4" t="s">
        <v>27</v>
      </c>
      <c r="C215" s="5">
        <v>310</v>
      </c>
      <c r="D215" s="13">
        <v>3805</v>
      </c>
      <c r="E215" s="396">
        <v>6</v>
      </c>
      <c r="F215" s="3">
        <f t="shared" si="21"/>
        <v>74</v>
      </c>
      <c r="G215" s="13">
        <f t="shared" si="22"/>
        <v>22830</v>
      </c>
    </row>
    <row r="216" spans="1:8" s="20" customFormat="1" ht="18" hidden="1" customHeight="1" x14ac:dyDescent="0.25">
      <c r="A216" s="6">
        <v>1</v>
      </c>
      <c r="B216" s="15" t="s">
        <v>5</v>
      </c>
      <c r="C216" s="5"/>
      <c r="D216" s="19">
        <f>SUM(D202:D215)</f>
        <v>11025</v>
      </c>
      <c r="E216" s="417">
        <f>G216/D216</f>
        <v>9.1734240362811796</v>
      </c>
      <c r="F216" s="19">
        <f>SUM(F202:F215)</f>
        <v>318</v>
      </c>
      <c r="G216" s="19">
        <f>SUM(G202:G215)</f>
        <v>101137</v>
      </c>
      <c r="H216" s="275"/>
    </row>
    <row r="217" spans="1:8" s="20" customFormat="1" ht="17.25" hidden="1" customHeight="1" x14ac:dyDescent="0.25">
      <c r="A217" s="6">
        <v>1</v>
      </c>
      <c r="B217" s="21" t="s">
        <v>185</v>
      </c>
      <c r="C217" s="22"/>
      <c r="D217" s="358"/>
      <c r="E217" s="3"/>
      <c r="F217" s="3"/>
      <c r="G217" s="13"/>
    </row>
    <row r="218" spans="1:8" s="20" customFormat="1" ht="35.25" hidden="1" customHeight="1" x14ac:dyDescent="0.25">
      <c r="A218" s="6">
        <v>1</v>
      </c>
      <c r="B218" s="23" t="s">
        <v>321</v>
      </c>
      <c r="C218" s="22"/>
      <c r="D218" s="358">
        <f>SUM(D219:D221)</f>
        <v>76990</v>
      </c>
      <c r="E218" s="3"/>
      <c r="F218" s="3"/>
      <c r="G218" s="13"/>
    </row>
    <row r="219" spans="1:8" s="20" customFormat="1" hidden="1" x14ac:dyDescent="0.25">
      <c r="A219" s="6">
        <v>1</v>
      </c>
      <c r="B219" s="418" t="s">
        <v>206</v>
      </c>
      <c r="C219" s="22"/>
      <c r="D219" s="358">
        <v>4240</v>
      </c>
      <c r="E219" s="3"/>
      <c r="F219" s="3"/>
      <c r="G219" s="13"/>
    </row>
    <row r="220" spans="1:8" s="20" customFormat="1" ht="45" hidden="1" x14ac:dyDescent="0.25">
      <c r="A220" s="6">
        <v>1</v>
      </c>
      <c r="B220" s="210" t="s">
        <v>221</v>
      </c>
      <c r="C220" s="22"/>
      <c r="D220" s="358">
        <v>10000</v>
      </c>
      <c r="E220" s="3"/>
      <c r="F220" s="3"/>
      <c r="G220" s="13"/>
    </row>
    <row r="221" spans="1:8" s="20" customFormat="1" hidden="1" x14ac:dyDescent="0.25">
      <c r="A221" s="6">
        <v>1</v>
      </c>
      <c r="B221" s="210" t="s">
        <v>223</v>
      </c>
      <c r="C221" s="22"/>
      <c r="D221" s="358">
        <v>62750</v>
      </c>
      <c r="E221" s="3"/>
      <c r="F221" s="3"/>
      <c r="G221" s="13"/>
    </row>
    <row r="222" spans="1:8" s="20" customFormat="1" hidden="1" x14ac:dyDescent="0.25">
      <c r="A222" s="6">
        <v>1</v>
      </c>
      <c r="B222" s="24" t="s">
        <v>118</v>
      </c>
      <c r="C222" s="22"/>
      <c r="D222" s="358">
        <v>4450</v>
      </c>
      <c r="E222" s="3"/>
      <c r="F222" s="3"/>
      <c r="G222" s="13"/>
    </row>
    <row r="223" spans="1:8" s="20" customFormat="1" ht="30" hidden="1" x14ac:dyDescent="0.25">
      <c r="A223" s="6">
        <v>1</v>
      </c>
      <c r="B223" s="24" t="s">
        <v>119</v>
      </c>
      <c r="C223" s="22"/>
      <c r="D223" s="358">
        <f>D224</f>
        <v>24000</v>
      </c>
      <c r="E223" s="3"/>
      <c r="F223" s="3"/>
      <c r="G223" s="13"/>
    </row>
    <row r="224" spans="1:8" s="20" customFormat="1" ht="17.25" hidden="1" customHeight="1" x14ac:dyDescent="0.25">
      <c r="A224" s="6">
        <v>1</v>
      </c>
      <c r="B224" s="210" t="s">
        <v>224</v>
      </c>
      <c r="C224" s="22"/>
      <c r="D224" s="358">
        <v>24000</v>
      </c>
      <c r="E224" s="3"/>
      <c r="F224" s="3"/>
      <c r="G224" s="13"/>
    </row>
    <row r="225" spans="1:7" s="20" customFormat="1" ht="45" hidden="1" x14ac:dyDescent="0.25">
      <c r="A225" s="6">
        <v>1</v>
      </c>
      <c r="B225" s="24" t="s">
        <v>296</v>
      </c>
      <c r="C225" s="22"/>
      <c r="D225" s="358">
        <v>12445</v>
      </c>
      <c r="E225" s="3"/>
      <c r="F225" s="3"/>
      <c r="G225" s="13"/>
    </row>
    <row r="226" spans="1:7" s="20" customFormat="1" ht="17.25" hidden="1" customHeight="1" x14ac:dyDescent="0.25">
      <c r="A226" s="6">
        <v>1</v>
      </c>
      <c r="B226" s="212" t="s">
        <v>151</v>
      </c>
      <c r="C226" s="22"/>
      <c r="D226" s="366">
        <f>D218+D222*3.2+D223+D225</f>
        <v>127675</v>
      </c>
      <c r="E226" s="3"/>
      <c r="F226" s="3"/>
      <c r="G226" s="13"/>
    </row>
    <row r="227" spans="1:7" s="20" customFormat="1" hidden="1" x14ac:dyDescent="0.25">
      <c r="A227" s="6">
        <v>1</v>
      </c>
      <c r="B227" s="410" t="s">
        <v>120</v>
      </c>
      <c r="C227" s="22"/>
      <c r="D227" s="367">
        <f>SUM(D228:D243)</f>
        <v>21790</v>
      </c>
      <c r="E227" s="3"/>
      <c r="F227" s="3"/>
      <c r="G227" s="13"/>
    </row>
    <row r="228" spans="1:7" s="20" customFormat="1" ht="47.25" hidden="1" x14ac:dyDescent="0.25">
      <c r="A228" s="6">
        <v>1</v>
      </c>
      <c r="B228" s="419" t="s">
        <v>316</v>
      </c>
      <c r="C228" s="22"/>
      <c r="D228" s="358">
        <v>3000</v>
      </c>
      <c r="E228" s="3"/>
      <c r="F228" s="3"/>
      <c r="G228" s="13"/>
    </row>
    <row r="229" spans="1:7" s="20" customFormat="1" hidden="1" x14ac:dyDescent="0.25">
      <c r="A229" s="6">
        <v>1</v>
      </c>
      <c r="B229" s="420" t="s">
        <v>19</v>
      </c>
      <c r="C229" s="22"/>
      <c r="D229" s="358">
        <v>1000</v>
      </c>
      <c r="E229" s="3"/>
      <c r="F229" s="3"/>
      <c r="G229" s="13"/>
    </row>
    <row r="230" spans="1:7" s="20" customFormat="1" ht="30" hidden="1" x14ac:dyDescent="0.25">
      <c r="A230" s="6">
        <v>1</v>
      </c>
      <c r="B230" s="421" t="s">
        <v>162</v>
      </c>
      <c r="C230" s="22"/>
      <c r="D230" s="358">
        <v>100</v>
      </c>
      <c r="E230" s="3"/>
      <c r="F230" s="3"/>
      <c r="G230" s="13"/>
    </row>
    <row r="231" spans="1:7" s="20" customFormat="1" hidden="1" x14ac:dyDescent="0.25">
      <c r="A231" s="6">
        <v>1</v>
      </c>
      <c r="B231" s="422" t="s">
        <v>269</v>
      </c>
      <c r="C231" s="22"/>
      <c r="D231" s="358">
        <v>4000</v>
      </c>
      <c r="E231" s="3"/>
      <c r="F231" s="3"/>
      <c r="G231" s="13"/>
    </row>
    <row r="232" spans="1:7" s="20" customFormat="1" ht="30" hidden="1" x14ac:dyDescent="0.25">
      <c r="A232" s="6">
        <v>1</v>
      </c>
      <c r="B232" s="422" t="s">
        <v>237</v>
      </c>
      <c r="C232" s="22"/>
      <c r="D232" s="358">
        <v>250</v>
      </c>
      <c r="E232" s="3"/>
      <c r="F232" s="3"/>
      <c r="G232" s="13"/>
    </row>
    <row r="233" spans="1:7" s="20" customFormat="1" hidden="1" x14ac:dyDescent="0.25">
      <c r="A233" s="6">
        <v>1</v>
      </c>
      <c r="B233" s="421" t="s">
        <v>52</v>
      </c>
      <c r="C233" s="22"/>
      <c r="D233" s="358">
        <v>2100</v>
      </c>
      <c r="E233" s="3"/>
      <c r="F233" s="3"/>
      <c r="G233" s="13"/>
    </row>
    <row r="234" spans="1:7" s="20" customFormat="1" hidden="1" x14ac:dyDescent="0.25">
      <c r="A234" s="6">
        <v>1</v>
      </c>
      <c r="B234" s="421" t="s">
        <v>54</v>
      </c>
      <c r="C234" s="22"/>
      <c r="D234" s="358">
        <v>500</v>
      </c>
      <c r="E234" s="3"/>
      <c r="F234" s="3"/>
      <c r="G234" s="13"/>
    </row>
    <row r="235" spans="1:7" s="20" customFormat="1" ht="30" hidden="1" x14ac:dyDescent="0.25">
      <c r="A235" s="6">
        <v>1</v>
      </c>
      <c r="B235" s="422" t="s">
        <v>272</v>
      </c>
      <c r="C235" s="22"/>
      <c r="D235" s="358">
        <v>40</v>
      </c>
      <c r="E235" s="3"/>
      <c r="F235" s="3"/>
      <c r="G235" s="13"/>
    </row>
    <row r="236" spans="1:7" s="20" customFormat="1" hidden="1" x14ac:dyDescent="0.25">
      <c r="A236" s="6">
        <v>1</v>
      </c>
      <c r="B236" s="422" t="s">
        <v>18</v>
      </c>
      <c r="C236" s="22"/>
      <c r="D236" s="358">
        <v>2000</v>
      </c>
      <c r="E236" s="3"/>
      <c r="F236" s="3"/>
      <c r="G236" s="13"/>
    </row>
    <row r="237" spans="1:7" s="20" customFormat="1" hidden="1" x14ac:dyDescent="0.25">
      <c r="A237" s="6">
        <v>1</v>
      </c>
      <c r="B237" s="422" t="s">
        <v>160</v>
      </c>
      <c r="C237" s="22"/>
      <c r="D237" s="358">
        <v>5000</v>
      </c>
      <c r="E237" s="3"/>
      <c r="F237" s="3"/>
      <c r="G237" s="13"/>
    </row>
    <row r="238" spans="1:7" s="20" customFormat="1" hidden="1" x14ac:dyDescent="0.25">
      <c r="A238" s="6">
        <v>1</v>
      </c>
      <c r="B238" s="422" t="s">
        <v>16</v>
      </c>
      <c r="C238" s="22"/>
      <c r="D238" s="358">
        <v>50</v>
      </c>
      <c r="E238" s="3"/>
      <c r="F238" s="3"/>
      <c r="G238" s="13"/>
    </row>
    <row r="239" spans="1:7" s="20" customFormat="1" hidden="1" x14ac:dyDescent="0.25">
      <c r="A239" s="6">
        <v>1</v>
      </c>
      <c r="B239" s="422" t="s">
        <v>29</v>
      </c>
      <c r="C239" s="22"/>
      <c r="D239" s="358">
        <v>400</v>
      </c>
      <c r="E239" s="3"/>
      <c r="F239" s="3"/>
      <c r="G239" s="13"/>
    </row>
    <row r="240" spans="1:7" s="20" customFormat="1" hidden="1" x14ac:dyDescent="0.25">
      <c r="A240" s="6">
        <v>1</v>
      </c>
      <c r="B240" s="422" t="s">
        <v>53</v>
      </c>
      <c r="C240" s="22"/>
      <c r="D240" s="358">
        <v>1000</v>
      </c>
      <c r="E240" s="3"/>
      <c r="F240" s="3"/>
      <c r="G240" s="13"/>
    </row>
    <row r="241" spans="1:8" s="20" customFormat="1" hidden="1" x14ac:dyDescent="0.25">
      <c r="A241" s="6">
        <v>1</v>
      </c>
      <c r="B241" s="422" t="s">
        <v>231</v>
      </c>
      <c r="C241" s="22"/>
      <c r="D241" s="358">
        <v>100</v>
      </c>
      <c r="E241" s="3"/>
      <c r="F241" s="3"/>
      <c r="G241" s="13"/>
    </row>
    <row r="242" spans="1:8" s="20" customFormat="1" hidden="1" x14ac:dyDescent="0.25">
      <c r="A242" s="6">
        <v>1</v>
      </c>
      <c r="B242" s="422" t="s">
        <v>161</v>
      </c>
      <c r="C242" s="22"/>
      <c r="D242" s="358">
        <v>1750</v>
      </c>
      <c r="E242" s="3"/>
      <c r="F242" s="3"/>
      <c r="G242" s="13"/>
    </row>
    <row r="243" spans="1:8" s="20" customFormat="1" hidden="1" x14ac:dyDescent="0.25">
      <c r="A243" s="6">
        <v>1</v>
      </c>
      <c r="B243" s="422" t="s">
        <v>228</v>
      </c>
      <c r="C243" s="22"/>
      <c r="D243" s="358">
        <v>500</v>
      </c>
      <c r="E243" s="3"/>
      <c r="F243" s="3"/>
      <c r="G243" s="13"/>
    </row>
    <row r="244" spans="1:8" s="20" customFormat="1" ht="14.25" hidden="1" customHeight="1" x14ac:dyDescent="0.25">
      <c r="A244" s="6">
        <v>1</v>
      </c>
      <c r="B244" s="34" t="s">
        <v>7</v>
      </c>
      <c r="C244" s="5"/>
      <c r="D244" s="358"/>
      <c r="E244" s="3"/>
      <c r="F244" s="3"/>
      <c r="G244" s="13"/>
    </row>
    <row r="245" spans="1:8" s="20" customFormat="1" ht="18.75" hidden="1" customHeight="1" x14ac:dyDescent="0.25">
      <c r="A245" s="6">
        <v>1</v>
      </c>
      <c r="B245" s="371" t="s">
        <v>139</v>
      </c>
      <c r="C245" s="5"/>
      <c r="D245" s="358"/>
      <c r="E245" s="3"/>
      <c r="F245" s="3"/>
      <c r="G245" s="13"/>
    </row>
    <row r="246" spans="1:8" s="20" customFormat="1" ht="16.5" hidden="1" customHeight="1" x14ac:dyDescent="0.25">
      <c r="A246" s="6">
        <v>1</v>
      </c>
      <c r="B246" s="29" t="s">
        <v>58</v>
      </c>
      <c r="C246" s="5">
        <v>300</v>
      </c>
      <c r="D246" s="13">
        <v>245</v>
      </c>
      <c r="E246" s="14">
        <v>10</v>
      </c>
      <c r="F246" s="3">
        <f>ROUND(G246/C246,0)</f>
        <v>8</v>
      </c>
      <c r="G246" s="13">
        <f>ROUND(D246*E246,0)</f>
        <v>2450</v>
      </c>
    </row>
    <row r="247" spans="1:8" s="20" customFormat="1" ht="15.75" hidden="1" customHeight="1" x14ac:dyDescent="0.25">
      <c r="A247" s="6">
        <v>1</v>
      </c>
      <c r="B247" s="29" t="s">
        <v>106</v>
      </c>
      <c r="C247" s="5">
        <v>300</v>
      </c>
      <c r="D247" s="13">
        <v>275</v>
      </c>
      <c r="E247" s="14">
        <v>14</v>
      </c>
      <c r="F247" s="3">
        <f>ROUND(G247/C247,0)</f>
        <v>13</v>
      </c>
      <c r="G247" s="13">
        <f>ROUND(D247*E247,0)</f>
        <v>3850</v>
      </c>
    </row>
    <row r="248" spans="1:8" s="20" customFormat="1" ht="17.25" hidden="1" customHeight="1" x14ac:dyDescent="0.25">
      <c r="A248" s="6">
        <v>1</v>
      </c>
      <c r="B248" s="29" t="s">
        <v>190</v>
      </c>
      <c r="C248" s="5">
        <v>300</v>
      </c>
      <c r="D248" s="13">
        <v>780</v>
      </c>
      <c r="E248" s="396">
        <v>5.8</v>
      </c>
      <c r="F248" s="3">
        <f>ROUND(G248/C248,0)</f>
        <v>15</v>
      </c>
      <c r="G248" s="13">
        <f>ROUND(D248*E248,0)</f>
        <v>4524</v>
      </c>
    </row>
    <row r="249" spans="1:8" s="20" customFormat="1" ht="18.75" hidden="1" customHeight="1" x14ac:dyDescent="0.25">
      <c r="A249" s="6">
        <v>1</v>
      </c>
      <c r="B249" s="219" t="s">
        <v>9</v>
      </c>
      <c r="C249" s="5"/>
      <c r="D249" s="379">
        <f>D246+D247+D248</f>
        <v>1300</v>
      </c>
      <c r="E249" s="376">
        <f>G249/D249</f>
        <v>8.3261538461538454</v>
      </c>
      <c r="F249" s="380">
        <f>F246+F247+F248</f>
        <v>36</v>
      </c>
      <c r="G249" s="380">
        <f>G246+G247+G248</f>
        <v>10824</v>
      </c>
      <c r="H249" s="275"/>
    </row>
    <row r="250" spans="1:8" s="20" customFormat="1" ht="18.75" hidden="1" customHeight="1" x14ac:dyDescent="0.25">
      <c r="A250" s="6">
        <v>1</v>
      </c>
      <c r="B250" s="371" t="s">
        <v>76</v>
      </c>
      <c r="C250" s="28"/>
      <c r="D250" s="379"/>
      <c r="E250" s="39"/>
      <c r="F250" s="380"/>
      <c r="G250" s="380"/>
    </row>
    <row r="251" spans="1:8" s="20" customFormat="1" ht="16.5" hidden="1" customHeight="1" x14ac:dyDescent="0.25">
      <c r="A251" s="6">
        <v>1</v>
      </c>
      <c r="B251" s="30" t="s">
        <v>45</v>
      </c>
      <c r="C251" s="28">
        <v>240</v>
      </c>
      <c r="D251" s="13">
        <v>400</v>
      </c>
      <c r="E251" s="338">
        <v>8</v>
      </c>
      <c r="F251" s="3">
        <f>ROUND(G251/C251,0)</f>
        <v>13</v>
      </c>
      <c r="G251" s="13">
        <f>ROUND(D251*E251,0)</f>
        <v>3200</v>
      </c>
    </row>
    <row r="252" spans="1:8" s="20" customFormat="1" ht="17.25" hidden="1" customHeight="1" x14ac:dyDescent="0.25">
      <c r="A252" s="6">
        <v>1</v>
      </c>
      <c r="B252" s="30" t="s">
        <v>11</v>
      </c>
      <c r="C252" s="28">
        <v>240</v>
      </c>
      <c r="D252" s="13">
        <v>215</v>
      </c>
      <c r="E252" s="423">
        <v>3</v>
      </c>
      <c r="F252" s="3">
        <f>ROUND(G252/C252,0)</f>
        <v>3</v>
      </c>
      <c r="G252" s="13">
        <f>ROUND(D252*E252,0)</f>
        <v>645</v>
      </c>
    </row>
    <row r="253" spans="1:8" s="20" customFormat="1" ht="15.75" hidden="1" customHeight="1" x14ac:dyDescent="0.25">
      <c r="A253" s="6">
        <v>1</v>
      </c>
      <c r="B253" s="219" t="s">
        <v>141</v>
      </c>
      <c r="C253" s="222"/>
      <c r="D253" s="379">
        <f t="shared" ref="D253" si="23">D251+D252</f>
        <v>615</v>
      </c>
      <c r="E253" s="39">
        <f t="shared" ref="E253:G253" si="24">E251+E252</f>
        <v>11</v>
      </c>
      <c r="F253" s="380">
        <f t="shared" si="24"/>
        <v>16</v>
      </c>
      <c r="G253" s="380">
        <f t="shared" si="24"/>
        <v>3845</v>
      </c>
    </row>
    <row r="254" spans="1:8" s="20" customFormat="1" ht="19.5" hidden="1" customHeight="1" x14ac:dyDescent="0.25">
      <c r="A254" s="6">
        <v>1</v>
      </c>
      <c r="B254" s="31" t="s">
        <v>116</v>
      </c>
      <c r="C254" s="5"/>
      <c r="D254" s="366">
        <f>D249+D253</f>
        <v>1915</v>
      </c>
      <c r="E254" s="376">
        <f>G254/D254</f>
        <v>7.6600522193211491</v>
      </c>
      <c r="F254" s="19">
        <f>F249+F253</f>
        <v>52</v>
      </c>
      <c r="G254" s="19">
        <f>G249+G253</f>
        <v>14669</v>
      </c>
    </row>
    <row r="255" spans="1:8" s="20" customFormat="1" ht="18.75" hidden="1" customHeight="1" x14ac:dyDescent="0.25">
      <c r="A255" s="6">
        <v>1</v>
      </c>
      <c r="B255" s="40" t="s">
        <v>169</v>
      </c>
      <c r="C255" s="222"/>
      <c r="D255" s="379">
        <f>D256</f>
        <v>15</v>
      </c>
      <c r="E255" s="39"/>
      <c r="F255" s="380"/>
      <c r="G255" s="380"/>
    </row>
    <row r="256" spans="1:8" s="20" customFormat="1" ht="18.75" hidden="1" customHeight="1" thickBot="1" x14ac:dyDescent="0.3">
      <c r="A256" s="6">
        <v>1</v>
      </c>
      <c r="B256" s="424" t="s">
        <v>168</v>
      </c>
      <c r="C256" s="222"/>
      <c r="D256" s="384">
        <v>15</v>
      </c>
      <c r="E256" s="425"/>
      <c r="F256" s="414"/>
      <c r="G256" s="414"/>
    </row>
    <row r="257" spans="1:8" s="392" customFormat="1" ht="15.75" hidden="1" customHeight="1" thickBot="1" x14ac:dyDescent="0.3">
      <c r="A257" s="6">
        <v>1</v>
      </c>
      <c r="B257" s="387" t="s">
        <v>10</v>
      </c>
      <c r="C257" s="388"/>
      <c r="D257" s="389"/>
      <c r="E257" s="390"/>
      <c r="F257" s="391"/>
      <c r="G257" s="390"/>
    </row>
    <row r="258" spans="1:8" s="392" customFormat="1" ht="15" hidden="1" customHeight="1" x14ac:dyDescent="0.25">
      <c r="A258" s="6">
        <v>1</v>
      </c>
      <c r="B258" s="426"/>
      <c r="C258" s="427"/>
      <c r="D258" s="358"/>
      <c r="E258" s="13"/>
      <c r="F258" s="13"/>
      <c r="G258" s="13"/>
    </row>
    <row r="259" spans="1:8" ht="29.25" x14ac:dyDescent="0.25">
      <c r="A259" s="6">
        <v>1</v>
      </c>
      <c r="B259" s="726" t="s">
        <v>82</v>
      </c>
      <c r="C259" s="5"/>
      <c r="D259" s="358"/>
      <c r="E259" s="13"/>
      <c r="F259" s="13"/>
      <c r="G259" s="13"/>
    </row>
    <row r="260" spans="1:8" x14ac:dyDescent="0.25">
      <c r="A260" s="6">
        <v>1</v>
      </c>
      <c r="B260" s="356" t="s">
        <v>4</v>
      </c>
      <c r="C260" s="5"/>
      <c r="D260" s="358"/>
      <c r="E260" s="13"/>
      <c r="F260" s="13"/>
      <c r="G260" s="13"/>
    </row>
    <row r="261" spans="1:8" x14ac:dyDescent="0.25">
      <c r="A261" s="6">
        <v>1</v>
      </c>
      <c r="B261" s="36" t="s">
        <v>105</v>
      </c>
      <c r="C261" s="5">
        <v>340</v>
      </c>
      <c r="D261" s="13">
        <v>1185</v>
      </c>
      <c r="E261" s="428">
        <v>16.399999999999999</v>
      </c>
      <c r="F261" s="3">
        <f t="shared" ref="F261:F266" si="25">ROUND(G261/C261,0)</f>
        <v>57</v>
      </c>
      <c r="G261" s="13">
        <f t="shared" ref="G261:G266" si="26">ROUND(D261*E261,0)</f>
        <v>19434</v>
      </c>
      <c r="H261" s="429"/>
    </row>
    <row r="262" spans="1:8" x14ac:dyDescent="0.25">
      <c r="A262" s="6">
        <v>1</v>
      </c>
      <c r="B262" s="36" t="s">
        <v>110</v>
      </c>
      <c r="C262" s="5">
        <v>340</v>
      </c>
      <c r="D262" s="13">
        <v>580</v>
      </c>
      <c r="E262" s="428">
        <v>14</v>
      </c>
      <c r="F262" s="3">
        <f t="shared" si="25"/>
        <v>24</v>
      </c>
      <c r="G262" s="13">
        <f t="shared" si="26"/>
        <v>8120</v>
      </c>
      <c r="H262" s="429"/>
    </row>
    <row r="263" spans="1:8" x14ac:dyDescent="0.25">
      <c r="A263" s="6">
        <v>1</v>
      </c>
      <c r="B263" s="36" t="s">
        <v>111</v>
      </c>
      <c r="C263" s="5">
        <v>340</v>
      </c>
      <c r="D263" s="13">
        <v>487</v>
      </c>
      <c r="E263" s="428">
        <v>17.5</v>
      </c>
      <c r="F263" s="3">
        <f t="shared" si="25"/>
        <v>25</v>
      </c>
      <c r="G263" s="13">
        <f t="shared" si="26"/>
        <v>8523</v>
      </c>
      <c r="H263" s="429"/>
    </row>
    <row r="264" spans="1:8" x14ac:dyDescent="0.25">
      <c r="A264" s="6">
        <v>1</v>
      </c>
      <c r="B264" s="36" t="s">
        <v>112</v>
      </c>
      <c r="C264" s="5">
        <v>340</v>
      </c>
      <c r="D264" s="13">
        <v>608</v>
      </c>
      <c r="E264" s="428">
        <v>15.5</v>
      </c>
      <c r="F264" s="3">
        <f t="shared" si="25"/>
        <v>28</v>
      </c>
      <c r="G264" s="13">
        <f t="shared" si="26"/>
        <v>9424</v>
      </c>
      <c r="H264" s="429"/>
    </row>
    <row r="265" spans="1:8" x14ac:dyDescent="0.25">
      <c r="A265" s="6">
        <v>1</v>
      </c>
      <c r="B265" s="36" t="s">
        <v>71</v>
      </c>
      <c r="C265" s="5">
        <v>340</v>
      </c>
      <c r="D265" s="13">
        <v>1040</v>
      </c>
      <c r="E265" s="428">
        <v>24.6</v>
      </c>
      <c r="F265" s="3">
        <f t="shared" si="25"/>
        <v>75</v>
      </c>
      <c r="G265" s="13">
        <f t="shared" si="26"/>
        <v>25584</v>
      </c>
      <c r="H265" s="429"/>
    </row>
    <row r="266" spans="1:8" x14ac:dyDescent="0.25">
      <c r="A266" s="6">
        <v>1</v>
      </c>
      <c r="B266" s="36" t="s">
        <v>113</v>
      </c>
      <c r="C266" s="5">
        <v>340</v>
      </c>
      <c r="D266" s="13">
        <v>2416</v>
      </c>
      <c r="E266" s="428">
        <v>7.6</v>
      </c>
      <c r="F266" s="3">
        <f t="shared" si="25"/>
        <v>54</v>
      </c>
      <c r="G266" s="13">
        <f t="shared" si="26"/>
        <v>18362</v>
      </c>
      <c r="H266" s="429"/>
    </row>
    <row r="267" spans="1:8" s="20" customFormat="1" x14ac:dyDescent="0.25">
      <c r="A267" s="6">
        <v>1</v>
      </c>
      <c r="B267" s="15" t="s">
        <v>5</v>
      </c>
      <c r="C267" s="16"/>
      <c r="D267" s="19">
        <f>SUM(D261:D266)</f>
        <v>6316</v>
      </c>
      <c r="E267" s="430">
        <f>G267/D267</f>
        <v>14.161969601013299</v>
      </c>
      <c r="F267" s="431">
        <f>SUM(F261:F266)</f>
        <v>263</v>
      </c>
      <c r="G267" s="432">
        <f>SUM(G261:G266)</f>
        <v>89447</v>
      </c>
      <c r="H267" s="433"/>
    </row>
    <row r="268" spans="1:8" s="20" customFormat="1" ht="17.25" customHeight="1" x14ac:dyDescent="0.25">
      <c r="A268" s="6">
        <v>1</v>
      </c>
      <c r="B268" s="21" t="s">
        <v>6</v>
      </c>
      <c r="C268" s="22"/>
      <c r="D268" s="358"/>
      <c r="E268" s="357"/>
      <c r="F268" s="357"/>
      <c r="G268" s="42"/>
      <c r="H268" s="433"/>
    </row>
    <row r="269" spans="1:8" s="20" customFormat="1" ht="32.25" customHeight="1" x14ac:dyDescent="0.25">
      <c r="A269" s="6">
        <v>1</v>
      </c>
      <c r="B269" s="23" t="s">
        <v>321</v>
      </c>
      <c r="C269" s="22"/>
      <c r="D269" s="358">
        <f>D270</f>
        <v>49700</v>
      </c>
      <c r="E269" s="357"/>
      <c r="F269" s="357"/>
      <c r="G269" s="42"/>
      <c r="H269" s="433"/>
    </row>
    <row r="270" spans="1:8" s="20" customFormat="1" ht="18.75" customHeight="1" x14ac:dyDescent="0.25">
      <c r="A270" s="6">
        <v>1</v>
      </c>
      <c r="B270" s="23" t="s">
        <v>303</v>
      </c>
      <c r="C270" s="22"/>
      <c r="D270" s="358">
        <v>49700</v>
      </c>
      <c r="E270" s="357"/>
      <c r="F270" s="357"/>
      <c r="G270" s="42"/>
      <c r="H270" s="433"/>
    </row>
    <row r="271" spans="1:8" s="20" customFormat="1" x14ac:dyDescent="0.25">
      <c r="A271" s="6">
        <v>1</v>
      </c>
      <c r="B271" s="24" t="s">
        <v>118</v>
      </c>
      <c r="C271" s="28"/>
      <c r="D271" s="434"/>
      <c r="E271" s="357"/>
      <c r="F271" s="357"/>
      <c r="G271" s="42"/>
      <c r="H271" s="433"/>
    </row>
    <row r="272" spans="1:8" s="20" customFormat="1" ht="30" x14ac:dyDescent="0.25">
      <c r="A272" s="6">
        <v>1</v>
      </c>
      <c r="B272" s="24" t="s">
        <v>119</v>
      </c>
      <c r="C272" s="28"/>
      <c r="D272" s="434"/>
      <c r="E272" s="357"/>
      <c r="F272" s="357"/>
      <c r="G272" s="42"/>
      <c r="H272" s="433"/>
    </row>
    <row r="273" spans="1:8" s="20" customFormat="1" ht="15.75" customHeight="1" x14ac:dyDescent="0.25">
      <c r="A273" s="6">
        <v>1</v>
      </c>
      <c r="B273" s="18" t="s">
        <v>151</v>
      </c>
      <c r="C273" s="28"/>
      <c r="D273" s="366">
        <f t="shared" ref="D273" si="27">D269+ROUND(D271*3.2,0)+D272</f>
        <v>49700</v>
      </c>
      <c r="E273" s="357"/>
      <c r="F273" s="357"/>
      <c r="G273" s="42"/>
      <c r="H273" s="433"/>
    </row>
    <row r="274" spans="1:8" s="20" customFormat="1" x14ac:dyDescent="0.25">
      <c r="A274" s="6">
        <v>1</v>
      </c>
      <c r="B274" s="435" t="s">
        <v>120</v>
      </c>
      <c r="C274" s="28"/>
      <c r="D274" s="367">
        <f>SUM(D275:D287)</f>
        <v>37545</v>
      </c>
      <c r="E274" s="357"/>
      <c r="F274" s="357"/>
      <c r="G274" s="42"/>
      <c r="H274" s="433"/>
    </row>
    <row r="275" spans="1:8" s="20" customFormat="1" x14ac:dyDescent="0.25">
      <c r="A275" s="6">
        <v>1</v>
      </c>
      <c r="B275" s="36" t="s">
        <v>19</v>
      </c>
      <c r="C275" s="28"/>
      <c r="D275" s="358">
        <v>5368</v>
      </c>
      <c r="E275" s="357"/>
      <c r="F275" s="357"/>
      <c r="G275" s="42"/>
      <c r="H275" s="433"/>
    </row>
    <row r="276" spans="1:8" s="20" customFormat="1" ht="30" x14ac:dyDescent="0.25">
      <c r="A276" s="6">
        <v>1</v>
      </c>
      <c r="B276" s="36" t="s">
        <v>162</v>
      </c>
      <c r="C276" s="28"/>
      <c r="D276" s="358">
        <v>5128</v>
      </c>
      <c r="E276" s="357"/>
      <c r="F276" s="357"/>
      <c r="G276" s="42"/>
      <c r="H276" s="433"/>
    </row>
    <row r="277" spans="1:8" s="20" customFormat="1" x14ac:dyDescent="0.25">
      <c r="A277" s="6">
        <v>1</v>
      </c>
      <c r="B277" s="36" t="s">
        <v>32</v>
      </c>
      <c r="C277" s="28"/>
      <c r="D277" s="358">
        <v>2000</v>
      </c>
      <c r="E277" s="357"/>
      <c r="F277" s="357"/>
      <c r="G277" s="42"/>
      <c r="H277" s="433"/>
    </row>
    <row r="278" spans="1:8" s="20" customFormat="1" x14ac:dyDescent="0.25">
      <c r="A278" s="6">
        <v>1</v>
      </c>
      <c r="B278" s="36" t="s">
        <v>121</v>
      </c>
      <c r="C278" s="28"/>
      <c r="D278" s="358">
        <v>900</v>
      </c>
      <c r="E278" s="357"/>
      <c r="F278" s="357"/>
      <c r="G278" s="42"/>
      <c r="H278" s="433"/>
    </row>
    <row r="279" spans="1:8" s="20" customFormat="1" ht="30" x14ac:dyDescent="0.25">
      <c r="A279" s="6">
        <v>1</v>
      </c>
      <c r="B279" s="36" t="s">
        <v>77</v>
      </c>
      <c r="C279" s="28"/>
      <c r="D279" s="358">
        <v>4800</v>
      </c>
      <c r="E279" s="357"/>
      <c r="F279" s="357"/>
      <c r="G279" s="42"/>
      <c r="H279" s="433"/>
    </row>
    <row r="280" spans="1:8" s="20" customFormat="1" x14ac:dyDescent="0.25">
      <c r="A280" s="6">
        <v>1</v>
      </c>
      <c r="B280" s="36" t="s">
        <v>17</v>
      </c>
      <c r="C280" s="28"/>
      <c r="D280" s="358">
        <v>540</v>
      </c>
      <c r="E280" s="357"/>
      <c r="F280" s="357"/>
      <c r="G280" s="42"/>
      <c r="H280" s="433"/>
    </row>
    <row r="281" spans="1:8" s="20" customFormat="1" x14ac:dyDescent="0.25">
      <c r="A281" s="6">
        <v>1</v>
      </c>
      <c r="B281" s="36" t="s">
        <v>243</v>
      </c>
      <c r="C281" s="28"/>
      <c r="D281" s="358">
        <v>48</v>
      </c>
      <c r="E281" s="357"/>
      <c r="F281" s="357"/>
      <c r="G281" s="42"/>
      <c r="H281" s="433"/>
    </row>
    <row r="282" spans="1:8" s="20" customFormat="1" x14ac:dyDescent="0.25">
      <c r="A282" s="6">
        <v>1</v>
      </c>
      <c r="B282" s="36" t="s">
        <v>241</v>
      </c>
      <c r="C282" s="28"/>
      <c r="D282" s="358">
        <v>3540</v>
      </c>
      <c r="E282" s="357"/>
      <c r="F282" s="357"/>
      <c r="G282" s="42"/>
      <c r="H282" s="433"/>
    </row>
    <row r="283" spans="1:8" s="20" customFormat="1" x14ac:dyDescent="0.25">
      <c r="A283" s="6">
        <v>1</v>
      </c>
      <c r="B283" s="399" t="s">
        <v>242</v>
      </c>
      <c r="C283" s="28"/>
      <c r="D283" s="358">
        <v>2220</v>
      </c>
      <c r="E283" s="357"/>
      <c r="F283" s="357"/>
      <c r="G283" s="42"/>
      <c r="H283" s="433"/>
    </row>
    <row r="284" spans="1:8" s="20" customFormat="1" x14ac:dyDescent="0.25">
      <c r="A284" s="6">
        <v>1</v>
      </c>
      <c r="B284" s="36" t="s">
        <v>238</v>
      </c>
      <c r="C284" s="28"/>
      <c r="D284" s="358">
        <v>1600</v>
      </c>
      <c r="E284" s="357"/>
      <c r="F284" s="357"/>
      <c r="G284" s="42"/>
      <c r="H284" s="433"/>
    </row>
    <row r="285" spans="1:8" s="20" customFormat="1" ht="30" x14ac:dyDescent="0.25">
      <c r="A285" s="6">
        <v>1</v>
      </c>
      <c r="B285" s="36" t="s">
        <v>239</v>
      </c>
      <c r="C285" s="28"/>
      <c r="D285" s="358">
        <v>2436</v>
      </c>
      <c r="E285" s="357"/>
      <c r="F285" s="357"/>
      <c r="G285" s="42"/>
      <c r="H285" s="433"/>
    </row>
    <row r="286" spans="1:8" s="20" customFormat="1" ht="30" x14ac:dyDescent="0.25">
      <c r="A286" s="6">
        <v>1</v>
      </c>
      <c r="B286" s="36" t="s">
        <v>240</v>
      </c>
      <c r="C286" s="28"/>
      <c r="D286" s="358">
        <v>6965</v>
      </c>
      <c r="E286" s="357"/>
      <c r="F286" s="357"/>
      <c r="G286" s="42"/>
      <c r="H286" s="433"/>
    </row>
    <row r="287" spans="1:8" s="20" customFormat="1" x14ac:dyDescent="0.25">
      <c r="A287" s="6"/>
      <c r="B287" s="36" t="s">
        <v>332</v>
      </c>
      <c r="C287" s="28"/>
      <c r="D287" s="358">
        <v>2000</v>
      </c>
      <c r="E287" s="357"/>
      <c r="F287" s="357"/>
      <c r="G287" s="42"/>
      <c r="H287" s="433"/>
    </row>
    <row r="288" spans="1:8" s="20" customFormat="1" ht="15.75" customHeight="1" x14ac:dyDescent="0.25">
      <c r="A288" s="6">
        <v>1</v>
      </c>
      <c r="B288" s="34" t="s">
        <v>7</v>
      </c>
      <c r="C288" s="28"/>
      <c r="D288" s="434"/>
      <c r="E288" s="357"/>
      <c r="F288" s="357"/>
      <c r="G288" s="42"/>
      <c r="H288" s="433"/>
    </row>
    <row r="289" spans="1:8" s="20" customFormat="1" ht="18.75" customHeight="1" x14ac:dyDescent="0.25">
      <c r="A289" s="6">
        <v>1</v>
      </c>
      <c r="B289" s="43" t="s">
        <v>139</v>
      </c>
      <c r="C289" s="28"/>
      <c r="D289" s="434"/>
      <c r="E289" s="357"/>
      <c r="F289" s="436"/>
      <c r="G289" s="209"/>
      <c r="H289" s="433"/>
    </row>
    <row r="290" spans="1:8" s="20" customFormat="1" ht="18.75" customHeight="1" x14ac:dyDescent="0.25">
      <c r="A290" s="6">
        <v>1</v>
      </c>
      <c r="B290" s="36" t="s">
        <v>113</v>
      </c>
      <c r="C290" s="28">
        <v>330</v>
      </c>
      <c r="D290" s="434">
        <f>480+68</f>
        <v>548</v>
      </c>
      <c r="E290" s="218">
        <v>5.5</v>
      </c>
      <c r="F290" s="3">
        <f>ROUND(G290/C290,0)</f>
        <v>9</v>
      </c>
      <c r="G290" s="13">
        <f>ROUND(D290*E290,0)</f>
        <v>3014</v>
      </c>
      <c r="H290" s="433"/>
    </row>
    <row r="291" spans="1:8" s="20" customFormat="1" ht="16.5" customHeight="1" x14ac:dyDescent="0.25">
      <c r="A291" s="6">
        <v>1</v>
      </c>
      <c r="B291" s="36" t="s">
        <v>71</v>
      </c>
      <c r="C291" s="28">
        <v>330</v>
      </c>
      <c r="D291" s="434">
        <f>70+28</f>
        <v>98</v>
      </c>
      <c r="E291" s="218">
        <v>30</v>
      </c>
      <c r="F291" s="3">
        <f>ROUND(G291/C291,0)</f>
        <v>9</v>
      </c>
      <c r="G291" s="13">
        <f>ROUND(D291*E291,0)</f>
        <v>2940</v>
      </c>
      <c r="H291" s="433"/>
    </row>
    <row r="292" spans="1:8" s="20" customFormat="1" ht="17.25" customHeight="1" x14ac:dyDescent="0.25">
      <c r="A292" s="6">
        <v>1</v>
      </c>
      <c r="B292" s="34" t="s">
        <v>9</v>
      </c>
      <c r="C292" s="341"/>
      <c r="D292" s="437">
        <f>D290+D291</f>
        <v>646</v>
      </c>
      <c r="E292" s="400">
        <f>G292/D292</f>
        <v>9.2167182662538707</v>
      </c>
      <c r="F292" s="438">
        <f t="shared" ref="F292" si="28">F290+F291</f>
        <v>18</v>
      </c>
      <c r="G292" s="438">
        <f>G290+G291</f>
        <v>5954</v>
      </c>
      <c r="H292" s="433"/>
    </row>
    <row r="293" spans="1:8" s="20" customFormat="1" ht="16.5" customHeight="1" x14ac:dyDescent="0.25">
      <c r="A293" s="6">
        <v>1</v>
      </c>
      <c r="B293" s="43" t="s">
        <v>20</v>
      </c>
      <c r="C293" s="28"/>
      <c r="D293" s="434"/>
      <c r="E293" s="218"/>
      <c r="F293" s="3"/>
      <c r="G293" s="13"/>
      <c r="H293" s="433"/>
    </row>
    <row r="294" spans="1:8" s="20" customFormat="1" ht="14.25" customHeight="1" x14ac:dyDescent="0.25">
      <c r="A294" s="6">
        <v>1</v>
      </c>
      <c r="B294" s="30" t="s">
        <v>113</v>
      </c>
      <c r="C294" s="28">
        <v>240</v>
      </c>
      <c r="D294" s="434">
        <f>1426+32+5+1</f>
        <v>1464</v>
      </c>
      <c r="E294" s="218">
        <v>5.5</v>
      </c>
      <c r="F294" s="3">
        <f>ROUND(G294/C294,0)</f>
        <v>34</v>
      </c>
      <c r="G294" s="13">
        <f>ROUND(D294*E294,0)</f>
        <v>8052</v>
      </c>
      <c r="H294" s="433"/>
    </row>
    <row r="295" spans="1:8" s="20" customFormat="1" ht="14.25" customHeight="1" x14ac:dyDescent="0.25">
      <c r="A295" s="6">
        <v>1</v>
      </c>
      <c r="B295" s="30" t="s">
        <v>106</v>
      </c>
      <c r="C295" s="222">
        <v>240</v>
      </c>
      <c r="D295" s="434">
        <f>800+3+8+2+23+9</f>
        <v>845</v>
      </c>
      <c r="E295" s="439">
        <v>4</v>
      </c>
      <c r="F295" s="3">
        <f>ROUND(G295/C295,0)</f>
        <v>14</v>
      </c>
      <c r="G295" s="13">
        <f>ROUND(D295*E295,0)</f>
        <v>3380</v>
      </c>
      <c r="H295" s="433"/>
    </row>
    <row r="296" spans="1:8" s="20" customFormat="1" ht="18.75" customHeight="1" x14ac:dyDescent="0.25">
      <c r="A296" s="6">
        <v>1</v>
      </c>
      <c r="B296" s="219" t="s">
        <v>141</v>
      </c>
      <c r="C296" s="28"/>
      <c r="D296" s="440">
        <f>SUM(D294:D295)</f>
        <v>2309</v>
      </c>
      <c r="E296" s="376">
        <f t="shared" ref="E296:E297" si="29">G296/D296</f>
        <v>4.9510610653962752</v>
      </c>
      <c r="F296" s="221">
        <f t="shared" ref="F296:G296" si="30">SUM(F294:F295)</f>
        <v>48</v>
      </c>
      <c r="G296" s="221">
        <f t="shared" si="30"/>
        <v>11432</v>
      </c>
      <c r="H296" s="433"/>
    </row>
    <row r="297" spans="1:8" s="20" customFormat="1" ht="24.75" customHeight="1" thickBot="1" x14ac:dyDescent="0.3">
      <c r="A297" s="6">
        <v>1</v>
      </c>
      <c r="B297" s="31" t="s">
        <v>116</v>
      </c>
      <c r="C297" s="441"/>
      <c r="D297" s="442">
        <f>D292+D296</f>
        <v>2955</v>
      </c>
      <c r="E297" s="224">
        <f t="shared" si="29"/>
        <v>5.883587140439932</v>
      </c>
      <c r="F297" s="225">
        <f>F292+F296</f>
        <v>66</v>
      </c>
      <c r="G297" s="225">
        <f>G292+G296</f>
        <v>17386</v>
      </c>
      <c r="H297" s="433"/>
    </row>
    <row r="298" spans="1:8" s="392" customFormat="1" ht="19.5" customHeight="1" thickBot="1" x14ac:dyDescent="0.3">
      <c r="A298" s="6">
        <v>1</v>
      </c>
      <c r="B298" s="387" t="s">
        <v>10</v>
      </c>
      <c r="C298" s="388"/>
      <c r="D298" s="404"/>
      <c r="E298" s="405"/>
      <c r="F298" s="406"/>
      <c r="G298" s="407"/>
    </row>
    <row r="299" spans="1:8" s="392" customFormat="1" ht="45.75" customHeight="1" x14ac:dyDescent="0.25">
      <c r="A299" s="6">
        <v>1</v>
      </c>
      <c r="B299" s="727" t="s">
        <v>203</v>
      </c>
      <c r="C299" s="443"/>
      <c r="D299" s="444"/>
      <c r="E299" s="443"/>
      <c r="F299" s="443"/>
      <c r="G299" s="443"/>
    </row>
    <row r="300" spans="1:8" s="392" customFormat="1" x14ac:dyDescent="0.25">
      <c r="A300" s="6">
        <v>1</v>
      </c>
      <c r="B300" s="206" t="s">
        <v>153</v>
      </c>
      <c r="C300" s="28"/>
      <c r="D300" s="445"/>
      <c r="E300" s="28"/>
      <c r="F300" s="28"/>
      <c r="G300" s="28"/>
    </row>
    <row r="301" spans="1:8" s="392" customFormat="1" ht="30" x14ac:dyDescent="0.25">
      <c r="A301" s="6">
        <v>1</v>
      </c>
      <c r="B301" s="23" t="s">
        <v>321</v>
      </c>
      <c r="C301" s="28"/>
      <c r="D301" s="358">
        <f>D303+D304+D305+D302/2.7</f>
        <v>96540.481481481474</v>
      </c>
      <c r="E301" s="28"/>
      <c r="F301" s="28"/>
      <c r="G301" s="28"/>
    </row>
    <row r="302" spans="1:8" s="392" customFormat="1" x14ac:dyDescent="0.25">
      <c r="A302" s="6">
        <v>1</v>
      </c>
      <c r="B302" s="23" t="s">
        <v>286</v>
      </c>
      <c r="C302" s="28"/>
      <c r="D302" s="358">
        <v>2920</v>
      </c>
      <c r="E302" s="28"/>
      <c r="F302" s="28"/>
      <c r="G302" s="28"/>
    </row>
    <row r="303" spans="1:8" s="392" customFormat="1" x14ac:dyDescent="0.25">
      <c r="A303" s="6">
        <v>1</v>
      </c>
      <c r="B303" s="210" t="s">
        <v>206</v>
      </c>
      <c r="C303" s="28"/>
      <c r="D303" s="358">
        <v>26400</v>
      </c>
      <c r="E303" s="28"/>
      <c r="F303" s="28"/>
      <c r="G303" s="28"/>
    </row>
    <row r="304" spans="1:8" s="392" customFormat="1" ht="45" x14ac:dyDescent="0.25">
      <c r="A304" s="6">
        <v>1</v>
      </c>
      <c r="B304" s="210" t="s">
        <v>221</v>
      </c>
      <c r="C304" s="28"/>
      <c r="D304" s="358">
        <v>2000</v>
      </c>
      <c r="E304" s="28"/>
      <c r="F304" s="28"/>
      <c r="G304" s="28"/>
    </row>
    <row r="305" spans="1:11" s="392" customFormat="1" x14ac:dyDescent="0.25">
      <c r="A305" s="6">
        <v>1</v>
      </c>
      <c r="B305" s="210" t="s">
        <v>223</v>
      </c>
      <c r="C305" s="28"/>
      <c r="D305" s="358">
        <f>67558-499</f>
        <v>67059</v>
      </c>
      <c r="E305" s="28"/>
      <c r="F305" s="28"/>
      <c r="G305" s="28"/>
    </row>
    <row r="306" spans="1:11" s="392" customFormat="1" x14ac:dyDescent="0.25">
      <c r="A306" s="6">
        <v>1</v>
      </c>
      <c r="B306" s="24" t="s">
        <v>118</v>
      </c>
      <c r="C306" s="28"/>
      <c r="D306" s="358">
        <f>D307+D308</f>
        <v>49268.294117647056</v>
      </c>
      <c r="E306" s="28"/>
      <c r="F306" s="28"/>
      <c r="G306" s="28"/>
    </row>
    <row r="307" spans="1:11" s="392" customFormat="1" x14ac:dyDescent="0.25">
      <c r="A307" s="6">
        <v>1</v>
      </c>
      <c r="B307" s="24" t="s">
        <v>259</v>
      </c>
      <c r="C307" s="28"/>
      <c r="D307" s="358">
        <f>44403-350-300</f>
        <v>43753</v>
      </c>
      <c r="E307" s="28"/>
      <c r="F307" s="28"/>
      <c r="G307" s="28"/>
    </row>
    <row r="308" spans="1:11" s="392" customFormat="1" x14ac:dyDescent="0.25">
      <c r="A308" s="6">
        <v>1</v>
      </c>
      <c r="B308" s="24" t="s">
        <v>261</v>
      </c>
      <c r="C308" s="28"/>
      <c r="D308" s="358">
        <f>D309/8.5</f>
        <v>5515.2941176470586</v>
      </c>
      <c r="E308" s="28"/>
      <c r="F308" s="28"/>
      <c r="G308" s="28"/>
    </row>
    <row r="309" spans="1:11" s="392" customFormat="1" x14ac:dyDescent="0.25">
      <c r="A309" s="6">
        <v>1</v>
      </c>
      <c r="B309" s="44" t="s">
        <v>262</v>
      </c>
      <c r="C309" s="28"/>
      <c r="D309" s="446">
        <v>46880</v>
      </c>
      <c r="E309" s="28"/>
      <c r="F309" s="28"/>
      <c r="G309" s="28"/>
    </row>
    <row r="310" spans="1:11" s="392" customFormat="1" ht="30" x14ac:dyDescent="0.25">
      <c r="A310" s="6">
        <v>1</v>
      </c>
      <c r="B310" s="24" t="s">
        <v>119</v>
      </c>
      <c r="C310" s="28"/>
      <c r="D310" s="434"/>
      <c r="E310" s="28"/>
      <c r="F310" s="28"/>
      <c r="G310" s="28"/>
    </row>
    <row r="311" spans="1:11" s="392" customFormat="1" ht="29.25" x14ac:dyDescent="0.25">
      <c r="A311" s="6">
        <v>1</v>
      </c>
      <c r="B311" s="447" t="s">
        <v>152</v>
      </c>
      <c r="C311" s="28"/>
      <c r="D311" s="366">
        <f>D301+ROUND(D307*3.2,0)+D310+D309/3.9</f>
        <v>248570.99430199427</v>
      </c>
      <c r="E311" s="28"/>
      <c r="F311" s="28"/>
      <c r="G311" s="28"/>
      <c r="I311" s="448"/>
      <c r="J311" s="448"/>
    </row>
    <row r="312" spans="1:11" s="392" customFormat="1" x14ac:dyDescent="0.25">
      <c r="A312" s="6">
        <v>1</v>
      </c>
      <c r="B312" s="449" t="s">
        <v>120</v>
      </c>
      <c r="C312" s="28"/>
      <c r="D312" s="367">
        <f>SUM(D313:D342)</f>
        <v>528613</v>
      </c>
      <c r="E312" s="28"/>
      <c r="F312" s="28"/>
      <c r="G312" s="28"/>
    </row>
    <row r="313" spans="1:11" s="392" customFormat="1" ht="30" x14ac:dyDescent="0.25">
      <c r="A313" s="6">
        <v>1</v>
      </c>
      <c r="B313" s="36" t="s">
        <v>233</v>
      </c>
      <c r="C313" s="28"/>
      <c r="D313" s="450">
        <f>135993+1131</f>
        <v>137124</v>
      </c>
      <c r="E313" s="28"/>
      <c r="F313" s="28"/>
      <c r="G313" s="28"/>
      <c r="I313" s="451"/>
      <c r="J313" s="452"/>
      <c r="K313" s="452"/>
    </row>
    <row r="314" spans="1:11" s="392" customFormat="1" ht="30" x14ac:dyDescent="0.25">
      <c r="A314" s="6">
        <v>1</v>
      </c>
      <c r="B314" s="453" t="s">
        <v>234</v>
      </c>
      <c r="C314" s="28"/>
      <c r="D314" s="450">
        <v>7254</v>
      </c>
      <c r="E314" s="28"/>
      <c r="F314" s="28"/>
      <c r="G314" s="28"/>
    </row>
    <row r="315" spans="1:11" s="392" customFormat="1" x14ac:dyDescent="0.25">
      <c r="A315" s="6">
        <v>1</v>
      </c>
      <c r="B315" s="453" t="s">
        <v>244</v>
      </c>
      <c r="C315" s="28"/>
      <c r="D315" s="450">
        <v>250</v>
      </c>
      <c r="E315" s="28"/>
      <c r="F315" s="28"/>
      <c r="G315" s="28"/>
    </row>
    <row r="316" spans="1:11" s="392" customFormat="1" x14ac:dyDescent="0.25">
      <c r="A316" s="6">
        <v>1</v>
      </c>
      <c r="B316" s="453" t="s">
        <v>299</v>
      </c>
      <c r="C316" s="28"/>
      <c r="D316" s="450">
        <v>3140</v>
      </c>
      <c r="E316" s="28"/>
      <c r="F316" s="28"/>
      <c r="G316" s="28"/>
    </row>
    <row r="317" spans="1:11" s="392" customFormat="1" ht="45" x14ac:dyDescent="0.25">
      <c r="A317" s="6">
        <v>1</v>
      </c>
      <c r="B317" s="453" t="s">
        <v>316</v>
      </c>
      <c r="C317" s="28"/>
      <c r="D317" s="450">
        <v>10515</v>
      </c>
      <c r="E317" s="28"/>
      <c r="F317" s="28"/>
      <c r="G317" s="28"/>
    </row>
    <row r="318" spans="1:11" s="392" customFormat="1" ht="45" x14ac:dyDescent="0.25">
      <c r="A318" s="6">
        <v>1</v>
      </c>
      <c r="B318" s="453" t="s">
        <v>245</v>
      </c>
      <c r="C318" s="28"/>
      <c r="D318" s="450">
        <f>27806+1083+202</f>
        <v>29091</v>
      </c>
      <c r="E318" s="28"/>
      <c r="F318" s="28"/>
      <c r="G318" s="28"/>
    </row>
    <row r="319" spans="1:11" s="392" customFormat="1" x14ac:dyDescent="0.25">
      <c r="A319" s="6">
        <v>1</v>
      </c>
      <c r="B319" s="453" t="s">
        <v>55</v>
      </c>
      <c r="C319" s="28"/>
      <c r="D319" s="450">
        <v>15800</v>
      </c>
      <c r="E319" s="28"/>
      <c r="F319" s="28"/>
      <c r="G319" s="28"/>
    </row>
    <row r="320" spans="1:11" s="392" customFormat="1" x14ac:dyDescent="0.25">
      <c r="A320" s="6">
        <v>1</v>
      </c>
      <c r="B320" s="453" t="s">
        <v>19</v>
      </c>
      <c r="C320" s="28"/>
      <c r="D320" s="450">
        <v>9024</v>
      </c>
      <c r="E320" s="28"/>
      <c r="F320" s="28"/>
      <c r="G320" s="28"/>
    </row>
    <row r="321" spans="1:7" s="392" customFormat="1" ht="30" x14ac:dyDescent="0.25">
      <c r="A321" s="6">
        <v>1</v>
      </c>
      <c r="B321" s="453" t="s">
        <v>162</v>
      </c>
      <c r="C321" s="28"/>
      <c r="D321" s="450">
        <v>2126</v>
      </c>
      <c r="E321" s="28"/>
      <c r="F321" s="28"/>
      <c r="G321" s="28"/>
    </row>
    <row r="322" spans="1:7" s="392" customFormat="1" x14ac:dyDescent="0.25">
      <c r="A322" s="6">
        <v>1</v>
      </c>
      <c r="B322" s="210" t="s">
        <v>269</v>
      </c>
      <c r="C322" s="28"/>
      <c r="D322" s="450">
        <v>177099</v>
      </c>
      <c r="E322" s="28"/>
      <c r="F322" s="28"/>
      <c r="G322" s="28"/>
    </row>
    <row r="323" spans="1:7" s="392" customFormat="1" ht="30" x14ac:dyDescent="0.25">
      <c r="A323" s="6">
        <v>1</v>
      </c>
      <c r="B323" s="453" t="s">
        <v>237</v>
      </c>
      <c r="C323" s="28"/>
      <c r="D323" s="450">
        <v>455</v>
      </c>
      <c r="E323" s="28"/>
      <c r="F323" s="28"/>
      <c r="G323" s="28"/>
    </row>
    <row r="324" spans="1:7" s="392" customFormat="1" ht="30.75" customHeight="1" x14ac:dyDescent="0.25">
      <c r="A324" s="6">
        <v>1</v>
      </c>
      <c r="B324" s="453" t="s">
        <v>246</v>
      </c>
      <c r="C324" s="28"/>
      <c r="D324" s="450">
        <v>9250</v>
      </c>
      <c r="E324" s="28"/>
      <c r="F324" s="28"/>
      <c r="G324" s="28"/>
    </row>
    <row r="325" spans="1:7" s="392" customFormat="1" ht="30" x14ac:dyDescent="0.25">
      <c r="A325" s="6">
        <v>1</v>
      </c>
      <c r="B325" s="453" t="s">
        <v>143</v>
      </c>
      <c r="C325" s="28"/>
      <c r="D325" s="450">
        <v>629</v>
      </c>
      <c r="E325" s="28"/>
      <c r="F325" s="28"/>
      <c r="G325" s="28"/>
    </row>
    <row r="326" spans="1:7" s="392" customFormat="1" ht="45" x14ac:dyDescent="0.25">
      <c r="A326" s="6"/>
      <c r="B326" s="454" t="s">
        <v>268</v>
      </c>
      <c r="C326" s="28"/>
      <c r="D326" s="450">
        <v>150</v>
      </c>
      <c r="E326" s="28"/>
      <c r="F326" s="28"/>
      <c r="G326" s="28"/>
    </row>
    <row r="327" spans="1:7" s="392" customFormat="1" x14ac:dyDescent="0.25">
      <c r="A327" s="6">
        <v>1</v>
      </c>
      <c r="B327" s="453" t="s">
        <v>163</v>
      </c>
      <c r="C327" s="28"/>
      <c r="D327" s="450">
        <v>5790</v>
      </c>
      <c r="E327" s="28"/>
      <c r="F327" s="28"/>
      <c r="G327" s="28"/>
    </row>
    <row r="328" spans="1:7" s="392" customFormat="1" x14ac:dyDescent="0.25">
      <c r="A328" s="6">
        <v>1</v>
      </c>
      <c r="B328" s="453" t="s">
        <v>52</v>
      </c>
      <c r="C328" s="28"/>
      <c r="D328" s="450">
        <v>20070</v>
      </c>
      <c r="E328" s="28"/>
      <c r="F328" s="28"/>
      <c r="G328" s="28"/>
    </row>
    <row r="329" spans="1:7" s="392" customFormat="1" x14ac:dyDescent="0.25">
      <c r="A329" s="6">
        <v>1</v>
      </c>
      <c r="B329" s="453" t="s">
        <v>247</v>
      </c>
      <c r="C329" s="28"/>
      <c r="D329" s="450">
        <v>8880</v>
      </c>
      <c r="E329" s="28"/>
      <c r="F329" s="28"/>
      <c r="G329" s="28"/>
    </row>
    <row r="330" spans="1:7" s="392" customFormat="1" x14ac:dyDescent="0.25">
      <c r="A330" s="6">
        <v>1</v>
      </c>
      <c r="B330" s="453" t="s">
        <v>56</v>
      </c>
      <c r="C330" s="28"/>
      <c r="D330" s="450">
        <v>1950</v>
      </c>
      <c r="E330" s="28"/>
      <c r="F330" s="28"/>
      <c r="G330" s="28"/>
    </row>
    <row r="331" spans="1:7" s="392" customFormat="1" x14ac:dyDescent="0.25">
      <c r="A331" s="6">
        <v>1</v>
      </c>
      <c r="B331" s="453" t="s">
        <v>54</v>
      </c>
      <c r="C331" s="28"/>
      <c r="D331" s="450">
        <v>977</v>
      </c>
      <c r="E331" s="28"/>
      <c r="F331" s="28"/>
      <c r="G331" s="28"/>
    </row>
    <row r="332" spans="1:7" s="392" customFormat="1" x14ac:dyDescent="0.25">
      <c r="A332" s="6">
        <v>1</v>
      </c>
      <c r="B332" s="453" t="s">
        <v>18</v>
      </c>
      <c r="C332" s="28"/>
      <c r="D332" s="450">
        <v>5200</v>
      </c>
      <c r="E332" s="28"/>
      <c r="F332" s="28"/>
      <c r="G332" s="28"/>
    </row>
    <row r="333" spans="1:7" s="392" customFormat="1" x14ac:dyDescent="0.25">
      <c r="A333" s="6">
        <v>1</v>
      </c>
      <c r="B333" s="453" t="s">
        <v>160</v>
      </c>
      <c r="C333" s="28"/>
      <c r="D333" s="450">
        <v>36407</v>
      </c>
      <c r="E333" s="28"/>
      <c r="F333" s="28"/>
      <c r="G333" s="28"/>
    </row>
    <row r="334" spans="1:7" s="392" customFormat="1" x14ac:dyDescent="0.25">
      <c r="A334" s="6">
        <v>1</v>
      </c>
      <c r="B334" s="453" t="s">
        <v>248</v>
      </c>
      <c r="C334" s="28"/>
      <c r="D334" s="450">
        <v>204</v>
      </c>
      <c r="E334" s="28"/>
      <c r="F334" s="28"/>
      <c r="G334" s="28"/>
    </row>
    <row r="335" spans="1:7" s="392" customFormat="1" x14ac:dyDescent="0.25">
      <c r="A335" s="6">
        <v>1</v>
      </c>
      <c r="B335" s="453" t="s">
        <v>33</v>
      </c>
      <c r="C335" s="28"/>
      <c r="D335" s="450">
        <v>11553</v>
      </c>
      <c r="E335" s="28"/>
      <c r="F335" s="28"/>
      <c r="G335" s="28"/>
    </row>
    <row r="336" spans="1:7" s="392" customFormat="1" x14ac:dyDescent="0.25">
      <c r="A336" s="6">
        <v>1</v>
      </c>
      <c r="B336" s="453" t="s">
        <v>16</v>
      </c>
      <c r="C336" s="28"/>
      <c r="D336" s="450">
        <v>1140</v>
      </c>
      <c r="E336" s="28"/>
      <c r="F336" s="28"/>
      <c r="G336" s="28"/>
    </row>
    <row r="337" spans="1:7" s="392" customFormat="1" x14ac:dyDescent="0.25">
      <c r="A337" s="6">
        <v>1</v>
      </c>
      <c r="B337" s="453" t="s">
        <v>29</v>
      </c>
      <c r="C337" s="28"/>
      <c r="D337" s="450">
        <v>10400</v>
      </c>
      <c r="E337" s="28"/>
      <c r="F337" s="28"/>
      <c r="G337" s="28"/>
    </row>
    <row r="338" spans="1:7" s="392" customFormat="1" x14ac:dyDescent="0.25">
      <c r="A338" s="6">
        <v>1</v>
      </c>
      <c r="B338" s="453" t="s">
        <v>53</v>
      </c>
      <c r="C338" s="28"/>
      <c r="D338" s="450">
        <v>10870</v>
      </c>
      <c r="E338" s="28"/>
      <c r="F338" s="28"/>
      <c r="G338" s="28"/>
    </row>
    <row r="339" spans="1:7" s="392" customFormat="1" x14ac:dyDescent="0.25">
      <c r="A339" s="6">
        <v>1</v>
      </c>
      <c r="B339" s="453" t="s">
        <v>249</v>
      </c>
      <c r="C339" s="28"/>
      <c r="D339" s="450">
        <v>1400</v>
      </c>
      <c r="E339" s="28"/>
      <c r="F339" s="28"/>
      <c r="G339" s="28"/>
    </row>
    <row r="340" spans="1:7" s="392" customFormat="1" x14ac:dyDescent="0.25">
      <c r="A340" s="6">
        <v>1</v>
      </c>
      <c r="B340" s="453" t="s">
        <v>231</v>
      </c>
      <c r="C340" s="28"/>
      <c r="D340" s="450">
        <v>790</v>
      </c>
      <c r="E340" s="28"/>
      <c r="F340" s="28"/>
      <c r="G340" s="28"/>
    </row>
    <row r="341" spans="1:7" s="392" customFormat="1" x14ac:dyDescent="0.25">
      <c r="A341" s="6">
        <v>1</v>
      </c>
      <c r="B341" s="453" t="s">
        <v>161</v>
      </c>
      <c r="C341" s="28"/>
      <c r="D341" s="450">
        <v>975</v>
      </c>
      <c r="E341" s="28"/>
      <c r="F341" s="28"/>
      <c r="G341" s="28"/>
    </row>
    <row r="342" spans="1:7" s="392" customFormat="1" x14ac:dyDescent="0.25">
      <c r="A342" s="6">
        <v>1</v>
      </c>
      <c r="B342" s="453" t="s">
        <v>228</v>
      </c>
      <c r="C342" s="28"/>
      <c r="D342" s="450">
        <v>10100</v>
      </c>
      <c r="E342" s="28"/>
      <c r="F342" s="28"/>
      <c r="G342" s="28"/>
    </row>
    <row r="343" spans="1:7" s="392" customFormat="1" x14ac:dyDescent="0.25">
      <c r="A343" s="6">
        <v>1</v>
      </c>
      <c r="B343" s="34" t="s">
        <v>7</v>
      </c>
      <c r="C343" s="28"/>
      <c r="D343" s="217"/>
      <c r="E343" s="28"/>
      <c r="F343" s="28"/>
      <c r="G343" s="28"/>
    </row>
    <row r="344" spans="1:7" s="392" customFormat="1" x14ac:dyDescent="0.25">
      <c r="A344" s="6">
        <v>1</v>
      </c>
      <c r="B344" s="43" t="s">
        <v>20</v>
      </c>
      <c r="C344" s="28"/>
      <c r="D344" s="217"/>
      <c r="E344" s="28"/>
      <c r="F344" s="28"/>
      <c r="G344" s="28"/>
    </row>
    <row r="345" spans="1:7" s="392" customFormat="1" x14ac:dyDescent="0.25">
      <c r="A345" s="6">
        <v>1</v>
      </c>
      <c r="B345" s="30" t="s">
        <v>37</v>
      </c>
      <c r="C345" s="28">
        <v>240</v>
      </c>
      <c r="D345" s="455">
        <v>950</v>
      </c>
      <c r="E345" s="218">
        <v>10</v>
      </c>
      <c r="F345" s="3">
        <f>ROUND(G345/C345,0)</f>
        <v>40</v>
      </c>
      <c r="G345" s="13">
        <f>ROUND(D345*E345,0)</f>
        <v>9500</v>
      </c>
    </row>
    <row r="346" spans="1:7" s="392" customFormat="1" x14ac:dyDescent="0.25">
      <c r="A346" s="6">
        <v>1</v>
      </c>
      <c r="B346" s="30" t="s">
        <v>11</v>
      </c>
      <c r="C346" s="28">
        <v>240</v>
      </c>
      <c r="D346" s="455">
        <v>1450</v>
      </c>
      <c r="E346" s="439">
        <v>8.5</v>
      </c>
      <c r="F346" s="3">
        <f>ROUND(G346/C346,0)</f>
        <v>51</v>
      </c>
      <c r="G346" s="13">
        <f>ROUND(D346*E346,0)</f>
        <v>12325</v>
      </c>
    </row>
    <row r="347" spans="1:7" s="392" customFormat="1" ht="15.75" x14ac:dyDescent="0.25">
      <c r="A347" s="6">
        <v>1</v>
      </c>
      <c r="B347" s="219" t="s">
        <v>141</v>
      </c>
      <c r="C347" s="28"/>
      <c r="D347" s="220">
        <f>D345+D346</f>
        <v>2400</v>
      </c>
      <c r="E347" s="376">
        <f t="shared" ref="E347:E348" si="31">G347/D347</f>
        <v>9.09375</v>
      </c>
      <c r="F347" s="221">
        <f>F345+F346</f>
        <v>91</v>
      </c>
      <c r="G347" s="221">
        <f>G345+G346</f>
        <v>21825</v>
      </c>
    </row>
    <row r="348" spans="1:7" s="392" customFormat="1" ht="30" thickBot="1" x14ac:dyDescent="0.3">
      <c r="A348" s="6">
        <v>1</v>
      </c>
      <c r="B348" s="31" t="s">
        <v>116</v>
      </c>
      <c r="C348" s="222"/>
      <c r="D348" s="456">
        <f>D343+D347</f>
        <v>2400</v>
      </c>
      <c r="E348" s="376">
        <f t="shared" si="31"/>
        <v>9.09375</v>
      </c>
      <c r="F348" s="432">
        <f>F343+F347</f>
        <v>91</v>
      </c>
      <c r="G348" s="432">
        <f>G343+G347</f>
        <v>21825</v>
      </c>
    </row>
    <row r="349" spans="1:7" s="392" customFormat="1" ht="15.75" thickBot="1" x14ac:dyDescent="0.3">
      <c r="A349" s="6">
        <v>1</v>
      </c>
      <c r="B349" s="457" t="s">
        <v>10</v>
      </c>
      <c r="C349" s="458"/>
      <c r="D349" s="459"/>
      <c r="E349" s="458"/>
      <c r="F349" s="458"/>
      <c r="G349" s="458"/>
    </row>
    <row r="350" spans="1:7" s="392" customFormat="1" ht="48" hidden="1" customHeight="1" x14ac:dyDescent="0.25">
      <c r="A350" s="6">
        <v>1</v>
      </c>
      <c r="B350" s="659" t="s">
        <v>83</v>
      </c>
      <c r="C350" s="203"/>
      <c r="D350" s="204"/>
      <c r="E350" s="205"/>
      <c r="F350" s="205"/>
      <c r="G350" s="205"/>
    </row>
    <row r="351" spans="1:7" s="392" customFormat="1" hidden="1" x14ac:dyDescent="0.25">
      <c r="A351" s="6">
        <v>1</v>
      </c>
      <c r="B351" s="206" t="s">
        <v>185</v>
      </c>
      <c r="C351" s="207"/>
      <c r="D351" s="208"/>
      <c r="E351" s="209"/>
      <c r="F351" s="209"/>
      <c r="G351" s="209"/>
    </row>
    <row r="352" spans="1:7" s="392" customFormat="1" ht="30" hidden="1" x14ac:dyDescent="0.25">
      <c r="A352" s="6">
        <v>1</v>
      </c>
      <c r="B352" s="23" t="s">
        <v>321</v>
      </c>
      <c r="C352" s="22"/>
      <c r="D352" s="208">
        <f>D354+D355+D353/2.7</f>
        <v>102496.29629629629</v>
      </c>
      <c r="E352" s="209"/>
      <c r="F352" s="209"/>
      <c r="G352" s="209"/>
    </row>
    <row r="353" spans="1:7" s="392" customFormat="1" hidden="1" x14ac:dyDescent="0.25">
      <c r="A353" s="6">
        <v>1</v>
      </c>
      <c r="B353" s="23" t="s">
        <v>286</v>
      </c>
      <c r="C353" s="22"/>
      <c r="D353" s="208">
        <v>3500</v>
      </c>
      <c r="E353" s="209"/>
      <c r="F353" s="209"/>
      <c r="G353" s="209"/>
    </row>
    <row r="354" spans="1:7" s="392" customFormat="1" hidden="1" x14ac:dyDescent="0.25">
      <c r="A354" s="6">
        <v>1</v>
      </c>
      <c r="B354" s="210" t="s">
        <v>206</v>
      </c>
      <c r="C354" s="22"/>
      <c r="D354" s="211">
        <v>13200</v>
      </c>
      <c r="E354" s="209"/>
      <c r="F354" s="209"/>
      <c r="G354" s="209"/>
    </row>
    <row r="355" spans="1:7" s="392" customFormat="1" hidden="1" x14ac:dyDescent="0.25">
      <c r="A355" s="6">
        <v>1</v>
      </c>
      <c r="B355" s="210" t="s">
        <v>223</v>
      </c>
      <c r="C355" s="22"/>
      <c r="D355" s="211">
        <v>88000</v>
      </c>
      <c r="E355" s="209"/>
      <c r="F355" s="209"/>
      <c r="G355" s="209"/>
    </row>
    <row r="356" spans="1:7" s="392" customFormat="1" hidden="1" x14ac:dyDescent="0.25">
      <c r="A356" s="6">
        <v>1</v>
      </c>
      <c r="B356" s="24" t="s">
        <v>118</v>
      </c>
      <c r="C356" s="22"/>
      <c r="D356" s="208">
        <f>D357+D358</f>
        <v>9652.9411764705874</v>
      </c>
      <c r="E356" s="209"/>
      <c r="F356" s="209"/>
      <c r="G356" s="209"/>
    </row>
    <row r="357" spans="1:7" s="392" customFormat="1" hidden="1" x14ac:dyDescent="0.25">
      <c r="A357" s="6">
        <v>1</v>
      </c>
      <c r="B357" s="24" t="s">
        <v>259</v>
      </c>
      <c r="C357" s="22"/>
      <c r="D357" s="208">
        <v>8500</v>
      </c>
      <c r="E357" s="209"/>
      <c r="F357" s="209"/>
      <c r="G357" s="209"/>
    </row>
    <row r="358" spans="1:7" s="392" customFormat="1" hidden="1" x14ac:dyDescent="0.25">
      <c r="A358" s="6">
        <v>1</v>
      </c>
      <c r="B358" s="24" t="s">
        <v>261</v>
      </c>
      <c r="C358" s="22"/>
      <c r="D358" s="208">
        <f>D359/8.5</f>
        <v>1152.9411764705883</v>
      </c>
      <c r="E358" s="209"/>
      <c r="F358" s="209"/>
      <c r="G358" s="209"/>
    </row>
    <row r="359" spans="1:7" s="392" customFormat="1" hidden="1" x14ac:dyDescent="0.25">
      <c r="A359" s="6">
        <v>1</v>
      </c>
      <c r="B359" s="44" t="s">
        <v>262</v>
      </c>
      <c r="C359" s="22"/>
      <c r="D359" s="211">
        <v>9800</v>
      </c>
      <c r="E359" s="209"/>
      <c r="F359" s="209"/>
      <c r="G359" s="209"/>
    </row>
    <row r="360" spans="1:7" s="392" customFormat="1" ht="30" hidden="1" x14ac:dyDescent="0.25">
      <c r="A360" s="6">
        <v>1</v>
      </c>
      <c r="B360" s="24" t="s">
        <v>119</v>
      </c>
      <c r="C360" s="22"/>
      <c r="D360" s="208"/>
      <c r="E360" s="209"/>
      <c r="F360" s="209"/>
      <c r="G360" s="209"/>
    </row>
    <row r="361" spans="1:7" s="392" customFormat="1" ht="18" hidden="1" customHeight="1" x14ac:dyDescent="0.25">
      <c r="A361" s="6">
        <v>1</v>
      </c>
      <c r="B361" s="212" t="s">
        <v>151</v>
      </c>
      <c r="C361" s="22"/>
      <c r="D361" s="213">
        <f>D352+ROUND(D357*3.2,0)+D359/3.9</f>
        <v>132209.11680911679</v>
      </c>
      <c r="E361" s="209"/>
      <c r="F361" s="209"/>
      <c r="G361" s="209"/>
    </row>
    <row r="362" spans="1:7" s="392" customFormat="1" ht="18" hidden="1" customHeight="1" x14ac:dyDescent="0.25">
      <c r="A362" s="6">
        <v>1</v>
      </c>
      <c r="B362" s="25" t="s">
        <v>120</v>
      </c>
      <c r="C362" s="214"/>
      <c r="D362" s="215"/>
      <c r="E362" s="216"/>
      <c r="F362" s="216"/>
      <c r="G362" s="216"/>
    </row>
    <row r="363" spans="1:7" s="392" customFormat="1" hidden="1" x14ac:dyDescent="0.25">
      <c r="A363" s="6">
        <v>1</v>
      </c>
      <c r="B363" s="34" t="s">
        <v>7</v>
      </c>
      <c r="C363" s="28"/>
      <c r="D363" s="217"/>
      <c r="E363" s="28"/>
      <c r="F363" s="28"/>
      <c r="G363" s="28"/>
    </row>
    <row r="364" spans="1:7" s="392" customFormat="1" hidden="1" x14ac:dyDescent="0.25">
      <c r="A364" s="6">
        <v>1</v>
      </c>
      <c r="B364" s="43" t="s">
        <v>20</v>
      </c>
      <c r="C364" s="28"/>
      <c r="D364" s="217"/>
      <c r="E364" s="28"/>
      <c r="F364" s="28"/>
      <c r="G364" s="28"/>
    </row>
    <row r="365" spans="1:7" s="392" customFormat="1" hidden="1" x14ac:dyDescent="0.25">
      <c r="A365" s="6">
        <v>1</v>
      </c>
      <c r="B365" s="30" t="s">
        <v>138</v>
      </c>
      <c r="C365" s="28">
        <v>240</v>
      </c>
      <c r="D365" s="217">
        <v>2467</v>
      </c>
      <c r="E365" s="218">
        <v>10</v>
      </c>
      <c r="F365" s="3">
        <f>ROUND(G365/C365,0)</f>
        <v>103</v>
      </c>
      <c r="G365" s="13">
        <f>ROUND(D365*E365,0)</f>
        <v>24670</v>
      </c>
    </row>
    <row r="366" spans="1:7" s="392" customFormat="1" hidden="1" x14ac:dyDescent="0.25">
      <c r="A366" s="6">
        <v>1</v>
      </c>
      <c r="B366" s="219" t="s">
        <v>141</v>
      </c>
      <c r="C366" s="28"/>
      <c r="D366" s="220">
        <f>D365</f>
        <v>2467</v>
      </c>
      <c r="E366" s="660">
        <f t="shared" ref="E366:G366" si="32">E365</f>
        <v>10</v>
      </c>
      <c r="F366" s="221">
        <f t="shared" si="32"/>
        <v>103</v>
      </c>
      <c r="G366" s="221">
        <f t="shared" si="32"/>
        <v>24670</v>
      </c>
    </row>
    <row r="367" spans="1:7" s="392" customFormat="1" ht="16.5" hidden="1" customHeight="1" thickBot="1" x14ac:dyDescent="0.3">
      <c r="A367" s="6">
        <v>1</v>
      </c>
      <c r="B367" s="31" t="s">
        <v>116</v>
      </c>
      <c r="C367" s="222"/>
      <c r="D367" s="223">
        <f>D366</f>
        <v>2467</v>
      </c>
      <c r="E367" s="224">
        <f t="shared" ref="E367" si="33">G367/D367</f>
        <v>10</v>
      </c>
      <c r="F367" s="225">
        <f t="shared" ref="F367:G367" si="34">F366</f>
        <v>103</v>
      </c>
      <c r="G367" s="225">
        <f t="shared" si="34"/>
        <v>24670</v>
      </c>
    </row>
    <row r="368" spans="1:7" s="392" customFormat="1" ht="15.75" hidden="1" customHeight="1" thickBot="1" x14ac:dyDescent="0.3">
      <c r="A368" s="6">
        <v>1</v>
      </c>
      <c r="B368" s="387" t="s">
        <v>10</v>
      </c>
      <c r="C368" s="388"/>
      <c r="D368" s="460"/>
      <c r="E368" s="390"/>
      <c r="F368" s="391"/>
      <c r="G368" s="390"/>
    </row>
    <row r="369" spans="1:7" s="392" customFormat="1" ht="15.75" hidden="1" customHeight="1" thickBot="1" x14ac:dyDescent="0.3">
      <c r="A369" s="6">
        <v>1</v>
      </c>
      <c r="B369" s="461"/>
      <c r="C369" s="462"/>
      <c r="D369" s="463"/>
      <c r="E369" s="464"/>
      <c r="F369" s="464"/>
      <c r="G369" s="464"/>
    </row>
    <row r="370" spans="1:7" s="392" customFormat="1" ht="24.75" hidden="1" customHeight="1" x14ac:dyDescent="0.25">
      <c r="A370" s="6">
        <v>1</v>
      </c>
      <c r="B370" s="465" t="s">
        <v>78</v>
      </c>
      <c r="C370" s="203"/>
      <c r="D370" s="204"/>
      <c r="E370" s="205"/>
      <c r="F370" s="205"/>
      <c r="G370" s="205"/>
    </row>
    <row r="371" spans="1:7" s="392" customFormat="1" ht="18.75" hidden="1" customHeight="1" x14ac:dyDescent="0.25">
      <c r="A371" s="6">
        <v>1</v>
      </c>
      <c r="B371" s="206" t="s">
        <v>185</v>
      </c>
      <c r="C371" s="207"/>
      <c r="D371" s="208"/>
      <c r="E371" s="209"/>
      <c r="F371" s="209"/>
      <c r="G371" s="209"/>
    </row>
    <row r="372" spans="1:7" s="392" customFormat="1" ht="30" hidden="1" x14ac:dyDescent="0.25">
      <c r="A372" s="6">
        <v>1</v>
      </c>
      <c r="B372" s="23" t="s">
        <v>321</v>
      </c>
      <c r="C372" s="22"/>
      <c r="D372" s="208">
        <f>D373/2.7</f>
        <v>21727.407407407405</v>
      </c>
      <c r="E372" s="209"/>
      <c r="F372" s="209"/>
      <c r="G372" s="209"/>
    </row>
    <row r="373" spans="1:7" s="392" customFormat="1" hidden="1" x14ac:dyDescent="0.25">
      <c r="A373" s="6">
        <v>1</v>
      </c>
      <c r="B373" s="23" t="s">
        <v>286</v>
      </c>
      <c r="C373" s="22"/>
      <c r="D373" s="208">
        <v>58664</v>
      </c>
      <c r="E373" s="209"/>
      <c r="F373" s="209"/>
      <c r="G373" s="209"/>
    </row>
    <row r="374" spans="1:7" s="392" customFormat="1" hidden="1" x14ac:dyDescent="0.25">
      <c r="A374" s="6">
        <v>1</v>
      </c>
      <c r="B374" s="24" t="s">
        <v>118</v>
      </c>
      <c r="C374" s="22"/>
      <c r="D374" s="208">
        <f>(D375+D376)/8.5</f>
        <v>28421.882352941175</v>
      </c>
      <c r="E374" s="209"/>
      <c r="F374" s="209"/>
      <c r="G374" s="209"/>
    </row>
    <row r="375" spans="1:7" s="392" customFormat="1" hidden="1" x14ac:dyDescent="0.25">
      <c r="A375" s="6">
        <v>1</v>
      </c>
      <c r="B375" s="309" t="s">
        <v>262</v>
      </c>
      <c r="C375" s="22"/>
      <c r="D375" s="208">
        <f>266334-25000</f>
        <v>241334</v>
      </c>
      <c r="E375" s="209"/>
      <c r="F375" s="209"/>
      <c r="G375" s="209"/>
    </row>
    <row r="376" spans="1:7" s="392" customFormat="1" hidden="1" x14ac:dyDescent="0.25">
      <c r="A376" s="6">
        <v>1</v>
      </c>
      <c r="B376" s="309" t="s">
        <v>263</v>
      </c>
      <c r="C376" s="22"/>
      <c r="D376" s="208">
        <v>252</v>
      </c>
      <c r="E376" s="209"/>
      <c r="F376" s="209"/>
      <c r="G376" s="209"/>
    </row>
    <row r="377" spans="1:7" s="392" customFormat="1" ht="30" hidden="1" x14ac:dyDescent="0.25">
      <c r="A377" s="6">
        <v>1</v>
      </c>
      <c r="B377" s="24" t="s">
        <v>119</v>
      </c>
      <c r="C377" s="22"/>
      <c r="D377" s="208"/>
      <c r="E377" s="209"/>
      <c r="F377" s="209"/>
      <c r="G377" s="209"/>
    </row>
    <row r="378" spans="1:7" s="392" customFormat="1" ht="18" hidden="1" customHeight="1" thickBot="1" x14ac:dyDescent="0.3">
      <c r="A378" s="6">
        <v>1</v>
      </c>
      <c r="B378" s="212" t="s">
        <v>151</v>
      </c>
      <c r="C378" s="466"/>
      <c r="D378" s="467">
        <f>D372+ROUND((D375+D376)/3.9,0)+D377</f>
        <v>83672.407407407401</v>
      </c>
      <c r="E378" s="216"/>
      <c r="F378" s="216"/>
      <c r="G378" s="216"/>
    </row>
    <row r="379" spans="1:7" s="392" customFormat="1" ht="15.75" hidden="1" thickBot="1" x14ac:dyDescent="0.3">
      <c r="A379" s="6">
        <v>1</v>
      </c>
      <c r="B379" s="387" t="s">
        <v>10</v>
      </c>
      <c r="C379" s="388"/>
      <c r="D379" s="468"/>
      <c r="E379" s="391"/>
      <c r="F379" s="390"/>
      <c r="G379" s="416"/>
    </row>
    <row r="380" spans="1:7" s="392" customFormat="1" ht="36.75" hidden="1" customHeight="1" x14ac:dyDescent="0.25">
      <c r="A380" s="6">
        <v>1</v>
      </c>
      <c r="B380" s="469" t="s">
        <v>149</v>
      </c>
      <c r="C380" s="470"/>
      <c r="D380" s="471"/>
      <c r="E380" s="209"/>
      <c r="F380" s="209"/>
      <c r="G380" s="209"/>
    </row>
    <row r="381" spans="1:7" s="392" customFormat="1" hidden="1" x14ac:dyDescent="0.25">
      <c r="A381" s="6">
        <v>1</v>
      </c>
      <c r="B381" s="206" t="s">
        <v>6</v>
      </c>
      <c r="C381" s="207"/>
      <c r="D381" s="208"/>
      <c r="E381" s="42"/>
      <c r="F381" s="42"/>
      <c r="G381" s="42"/>
    </row>
    <row r="382" spans="1:7" s="392" customFormat="1" ht="28.5" hidden="1" customHeight="1" x14ac:dyDescent="0.25">
      <c r="A382" s="6">
        <v>1</v>
      </c>
      <c r="B382" s="23" t="s">
        <v>321</v>
      </c>
      <c r="C382" s="22"/>
      <c r="D382" s="208">
        <f>D383/2.7</f>
        <v>2574.8148148148148</v>
      </c>
      <c r="E382" s="209"/>
      <c r="F382" s="209"/>
      <c r="G382" s="209"/>
    </row>
    <row r="383" spans="1:7" s="392" customFormat="1" ht="19.5" hidden="1" customHeight="1" x14ac:dyDescent="0.25">
      <c r="A383" s="6">
        <v>1</v>
      </c>
      <c r="B383" s="23" t="s">
        <v>286</v>
      </c>
      <c r="C383" s="22"/>
      <c r="D383" s="208">
        <f>6852+100</f>
        <v>6952</v>
      </c>
      <c r="E383" s="209"/>
      <c r="F383" s="209"/>
      <c r="G383" s="209"/>
    </row>
    <row r="384" spans="1:7" s="392" customFormat="1" hidden="1" x14ac:dyDescent="0.25">
      <c r="A384" s="6">
        <v>1</v>
      </c>
      <c r="B384" s="24" t="s">
        <v>118</v>
      </c>
      <c r="C384" s="22"/>
      <c r="D384" s="208">
        <f>D385/8.5</f>
        <v>38471.529411764706</v>
      </c>
      <c r="E384" s="209"/>
      <c r="F384" s="209"/>
      <c r="G384" s="209"/>
    </row>
    <row r="385" spans="1:7" s="392" customFormat="1" hidden="1" x14ac:dyDescent="0.25">
      <c r="A385" s="6">
        <v>1</v>
      </c>
      <c r="B385" s="309" t="s">
        <v>150</v>
      </c>
      <c r="C385" s="22"/>
      <c r="D385" s="208">
        <f>327108-100</f>
        <v>327008</v>
      </c>
      <c r="E385" s="209"/>
      <c r="F385" s="209"/>
      <c r="G385" s="209"/>
    </row>
    <row r="386" spans="1:7" s="392" customFormat="1" ht="30" hidden="1" x14ac:dyDescent="0.25">
      <c r="A386" s="6">
        <v>1</v>
      </c>
      <c r="B386" s="24" t="s">
        <v>119</v>
      </c>
      <c r="C386" s="22"/>
      <c r="D386" s="208"/>
      <c r="E386" s="209"/>
      <c r="F386" s="209"/>
      <c r="G386" s="209"/>
    </row>
    <row r="387" spans="1:7" s="392" customFormat="1" ht="18.75" hidden="1" customHeight="1" thickBot="1" x14ac:dyDescent="0.3">
      <c r="A387" s="6">
        <v>1</v>
      </c>
      <c r="B387" s="212" t="s">
        <v>151</v>
      </c>
      <c r="C387" s="466"/>
      <c r="D387" s="467">
        <f>D382+ROUND(D385/3.9,0)+D386</f>
        <v>86422.814814814818</v>
      </c>
      <c r="E387" s="216"/>
      <c r="F387" s="216"/>
      <c r="G387" s="216"/>
    </row>
    <row r="388" spans="1:7" s="392" customFormat="1" ht="15.75" hidden="1" thickBot="1" x14ac:dyDescent="0.3">
      <c r="A388" s="6">
        <v>1</v>
      </c>
      <c r="B388" s="387" t="s">
        <v>10</v>
      </c>
      <c r="C388" s="388"/>
      <c r="D388" s="460"/>
      <c r="E388" s="390"/>
      <c r="F388" s="391"/>
      <c r="G388" s="390"/>
    </row>
    <row r="389" spans="1:7" s="392" customFormat="1" ht="14.25" hidden="1" customHeight="1" x14ac:dyDescent="0.25">
      <c r="A389" s="6">
        <v>1</v>
      </c>
      <c r="B389" s="472"/>
      <c r="C389" s="427"/>
      <c r="D389" s="471"/>
      <c r="E389" s="209"/>
      <c r="F389" s="209"/>
      <c r="G389" s="209"/>
    </row>
    <row r="390" spans="1:7" ht="47.25" x14ac:dyDescent="0.25">
      <c r="A390" s="6">
        <v>1</v>
      </c>
      <c r="B390" s="728" t="s">
        <v>180</v>
      </c>
      <c r="C390" s="5"/>
      <c r="D390" s="450"/>
      <c r="E390" s="42"/>
      <c r="F390" s="42"/>
      <c r="G390" s="42"/>
    </row>
    <row r="391" spans="1:7" ht="24.75" customHeight="1" x14ac:dyDescent="0.25">
      <c r="A391" s="6">
        <v>1</v>
      </c>
      <c r="B391" s="356" t="s">
        <v>4</v>
      </c>
      <c r="C391" s="5"/>
      <c r="D391" s="450"/>
      <c r="E391" s="42"/>
      <c r="F391" s="42"/>
      <c r="G391" s="42"/>
    </row>
    <row r="392" spans="1:7" ht="21" customHeight="1" x14ac:dyDescent="0.25">
      <c r="A392" s="6">
        <v>1</v>
      </c>
      <c r="B392" s="36" t="s">
        <v>45</v>
      </c>
      <c r="C392" s="5">
        <v>330</v>
      </c>
      <c r="D392" s="450">
        <f>4551-345</f>
        <v>4206</v>
      </c>
      <c r="E392" s="473">
        <v>3</v>
      </c>
      <c r="F392" s="3">
        <f>ROUND(G392/C392,0)</f>
        <v>38</v>
      </c>
      <c r="G392" s="42">
        <f>ROUND(D392*E392,0)</f>
        <v>12618</v>
      </c>
    </row>
    <row r="393" spans="1:7" ht="18.75" customHeight="1" x14ac:dyDescent="0.25">
      <c r="A393" s="6">
        <v>1</v>
      </c>
      <c r="B393" s="474" t="s">
        <v>5</v>
      </c>
      <c r="C393" s="409"/>
      <c r="D393" s="456">
        <f>D392</f>
        <v>4206</v>
      </c>
      <c r="E393" s="376">
        <f>G393/D393</f>
        <v>3</v>
      </c>
      <c r="F393" s="432">
        <f>F392</f>
        <v>38</v>
      </c>
      <c r="G393" s="432">
        <f>G392</f>
        <v>12618</v>
      </c>
    </row>
    <row r="394" spans="1:7" x14ac:dyDescent="0.25">
      <c r="A394" s="6">
        <v>1</v>
      </c>
      <c r="B394" s="206" t="s">
        <v>185</v>
      </c>
      <c r="C394" s="207"/>
      <c r="D394" s="208"/>
      <c r="E394" s="17"/>
      <c r="F394" s="432"/>
      <c r="G394" s="432"/>
    </row>
    <row r="395" spans="1:7" ht="30" x14ac:dyDescent="0.25">
      <c r="A395" s="6">
        <v>1</v>
      </c>
      <c r="B395" s="23" t="s">
        <v>321</v>
      </c>
      <c r="C395" s="22"/>
      <c r="D395" s="208">
        <f>D396</f>
        <v>889</v>
      </c>
      <c r="E395" s="17"/>
      <c r="F395" s="432"/>
      <c r="G395" s="432"/>
    </row>
    <row r="396" spans="1:7" x14ac:dyDescent="0.25">
      <c r="A396" s="6">
        <v>1</v>
      </c>
      <c r="B396" s="210" t="s">
        <v>223</v>
      </c>
      <c r="C396" s="22"/>
      <c r="D396" s="208">
        <v>889</v>
      </c>
      <c r="E396" s="17"/>
      <c r="F396" s="432"/>
      <c r="G396" s="432"/>
    </row>
    <row r="397" spans="1:7" x14ac:dyDescent="0.25">
      <c r="A397" s="6">
        <v>1</v>
      </c>
      <c r="B397" s="24" t="s">
        <v>118</v>
      </c>
      <c r="C397" s="22"/>
      <c r="D397" s="208"/>
      <c r="E397" s="17"/>
      <c r="F397" s="432"/>
      <c r="G397" s="432"/>
    </row>
    <row r="398" spans="1:7" ht="30" x14ac:dyDescent="0.25">
      <c r="A398" s="6">
        <v>1</v>
      </c>
      <c r="B398" s="24" t="s">
        <v>119</v>
      </c>
      <c r="C398" s="22"/>
      <c r="D398" s="208"/>
      <c r="E398" s="17"/>
      <c r="F398" s="432"/>
      <c r="G398" s="432"/>
    </row>
    <row r="399" spans="1:7" ht="18" customHeight="1" x14ac:dyDescent="0.25">
      <c r="A399" s="6">
        <v>1</v>
      </c>
      <c r="B399" s="212" t="s">
        <v>151</v>
      </c>
      <c r="C399" s="22"/>
      <c r="D399" s="213">
        <f>D395+ROUND(D397*3.2,0)+D398</f>
        <v>889</v>
      </c>
      <c r="E399" s="17"/>
      <c r="F399" s="432"/>
      <c r="G399" s="432"/>
    </row>
    <row r="400" spans="1:7" x14ac:dyDescent="0.25">
      <c r="A400" s="6">
        <v>1</v>
      </c>
      <c r="B400" s="25" t="s">
        <v>120</v>
      </c>
      <c r="C400" s="22"/>
      <c r="D400" s="475">
        <f>SUM(D401:D402)</f>
        <v>1238</v>
      </c>
      <c r="E400" s="17"/>
      <c r="F400" s="432"/>
      <c r="G400" s="432"/>
    </row>
    <row r="401" spans="1:7" ht="30" x14ac:dyDescent="0.25">
      <c r="A401" s="6">
        <v>1</v>
      </c>
      <c r="B401" s="476" t="s">
        <v>143</v>
      </c>
      <c r="C401" s="22"/>
      <c r="D401" s="661">
        <v>1098</v>
      </c>
      <c r="E401" s="17"/>
      <c r="F401" s="432"/>
      <c r="G401" s="432"/>
    </row>
    <row r="402" spans="1:7" ht="45" x14ac:dyDescent="0.25">
      <c r="A402" s="6">
        <v>1</v>
      </c>
      <c r="B402" s="454" t="s">
        <v>268</v>
      </c>
      <c r="C402" s="22"/>
      <c r="D402" s="662">
        <v>140</v>
      </c>
      <c r="E402" s="17"/>
      <c r="F402" s="432"/>
      <c r="G402" s="432"/>
    </row>
    <row r="403" spans="1:7" ht="17.25" customHeight="1" x14ac:dyDescent="0.25">
      <c r="A403" s="6">
        <v>1</v>
      </c>
      <c r="B403" s="43" t="s">
        <v>7</v>
      </c>
      <c r="C403" s="16"/>
      <c r="D403" s="450"/>
      <c r="E403" s="357"/>
      <c r="F403" s="357"/>
      <c r="G403" s="42"/>
    </row>
    <row r="404" spans="1:7" ht="17.25" customHeight="1" x14ac:dyDescent="0.25">
      <c r="A404" s="6">
        <v>1</v>
      </c>
      <c r="B404" s="43" t="s">
        <v>139</v>
      </c>
      <c r="C404" s="28"/>
      <c r="D404" s="450"/>
      <c r="E404" s="357"/>
      <c r="F404" s="436"/>
      <c r="G404" s="209"/>
    </row>
    <row r="405" spans="1:7" ht="17.25" customHeight="1" x14ac:dyDescent="0.25">
      <c r="A405" s="6">
        <v>1</v>
      </c>
      <c r="B405" s="29" t="s">
        <v>45</v>
      </c>
      <c r="C405" s="28">
        <v>330</v>
      </c>
      <c r="D405" s="450">
        <v>110</v>
      </c>
      <c r="E405" s="473">
        <v>8</v>
      </c>
      <c r="F405" s="3">
        <f>ROUND(G405/C405,0)</f>
        <v>3</v>
      </c>
      <c r="G405" s="42">
        <f>ROUND(D405*E405,0)</f>
        <v>880</v>
      </c>
    </row>
    <row r="406" spans="1:7" ht="18" customHeight="1" x14ac:dyDescent="0.25">
      <c r="A406" s="6">
        <v>1</v>
      </c>
      <c r="B406" s="34" t="s">
        <v>9</v>
      </c>
      <c r="C406" s="341"/>
      <c r="D406" s="220">
        <f t="shared" ref="D406" si="35">D405</f>
        <v>110</v>
      </c>
      <c r="E406" s="39">
        <f t="shared" ref="E406:G406" si="36">E405</f>
        <v>8</v>
      </c>
      <c r="F406" s="221">
        <f t="shared" si="36"/>
        <v>3</v>
      </c>
      <c r="G406" s="221">
        <f t="shared" si="36"/>
        <v>880</v>
      </c>
    </row>
    <row r="407" spans="1:7" ht="19.5" customHeight="1" x14ac:dyDescent="0.25">
      <c r="A407" s="6">
        <v>1</v>
      </c>
      <c r="B407" s="43" t="s">
        <v>20</v>
      </c>
      <c r="C407" s="28"/>
      <c r="D407" s="450"/>
      <c r="E407" s="357"/>
      <c r="F407" s="436"/>
      <c r="G407" s="209"/>
    </row>
    <row r="408" spans="1:7" ht="16.5" customHeight="1" x14ac:dyDescent="0.25">
      <c r="A408" s="6">
        <v>1</v>
      </c>
      <c r="B408" s="30" t="s">
        <v>45</v>
      </c>
      <c r="C408" s="28">
        <v>240</v>
      </c>
      <c r="D408" s="450">
        <f>3815+520</f>
        <v>4335</v>
      </c>
      <c r="E408" s="473">
        <v>3</v>
      </c>
      <c r="F408" s="3">
        <f>ROUND(G408/C408,0)</f>
        <v>54</v>
      </c>
      <c r="G408" s="42">
        <f>ROUND(D408*E408,0)</f>
        <v>13005</v>
      </c>
    </row>
    <row r="409" spans="1:7" ht="21" customHeight="1" x14ac:dyDescent="0.25">
      <c r="A409" s="6">
        <v>1</v>
      </c>
      <c r="B409" s="219" t="s">
        <v>141</v>
      </c>
      <c r="C409" s="28"/>
      <c r="D409" s="220">
        <f>D408</f>
        <v>4335</v>
      </c>
      <c r="E409" s="376">
        <f t="shared" ref="E409:E410" si="37">G409/D409</f>
        <v>3</v>
      </c>
      <c r="F409" s="221">
        <f t="shared" ref="F409:G409" si="38">F408</f>
        <v>54</v>
      </c>
      <c r="G409" s="221">
        <f t="shared" si="38"/>
        <v>13005</v>
      </c>
    </row>
    <row r="410" spans="1:7" ht="21" customHeight="1" thickBot="1" x14ac:dyDescent="0.3">
      <c r="A410" s="6">
        <v>1</v>
      </c>
      <c r="B410" s="31" t="s">
        <v>116</v>
      </c>
      <c r="C410" s="441"/>
      <c r="D410" s="223">
        <f>D406+D409</f>
        <v>4445</v>
      </c>
      <c r="E410" s="224">
        <f t="shared" si="37"/>
        <v>3.1237345331833519</v>
      </c>
      <c r="F410" s="225">
        <f>F406+F409</f>
        <v>57</v>
      </c>
      <c r="G410" s="225">
        <f>G406+G409</f>
        <v>13885</v>
      </c>
    </row>
    <row r="411" spans="1:7" s="392" customFormat="1" ht="24.75" customHeight="1" thickBot="1" x14ac:dyDescent="0.3">
      <c r="A411" s="6">
        <v>1</v>
      </c>
      <c r="B411" s="387" t="s">
        <v>10</v>
      </c>
      <c r="C411" s="388"/>
      <c r="D411" s="389"/>
      <c r="E411" s="390"/>
      <c r="F411" s="391"/>
      <c r="G411" s="390"/>
    </row>
    <row r="412" spans="1:7" s="401" customFormat="1" ht="39" hidden="1" customHeight="1" x14ac:dyDescent="0.25">
      <c r="A412" s="6">
        <v>1</v>
      </c>
      <c r="B412" s="623" t="s">
        <v>84</v>
      </c>
      <c r="C412" s="470"/>
      <c r="D412" s="477"/>
      <c r="E412" s="209"/>
      <c r="F412" s="209"/>
      <c r="G412" s="209"/>
    </row>
    <row r="413" spans="1:7" s="401" customFormat="1" ht="24.75" hidden="1" customHeight="1" x14ac:dyDescent="0.25">
      <c r="A413" s="6">
        <v>1</v>
      </c>
      <c r="B413" s="356" t="s">
        <v>4</v>
      </c>
      <c r="C413" s="16"/>
      <c r="D413" s="434"/>
      <c r="E413" s="42"/>
      <c r="F413" s="42"/>
      <c r="G413" s="42"/>
    </row>
    <row r="414" spans="1:7" s="401" customFormat="1" ht="15" hidden="1" customHeight="1" x14ac:dyDescent="0.25">
      <c r="A414" s="6">
        <v>1</v>
      </c>
      <c r="B414" s="4" t="s">
        <v>11</v>
      </c>
      <c r="C414" s="28">
        <v>340</v>
      </c>
      <c r="D414" s="61">
        <v>75</v>
      </c>
      <c r="E414" s="478">
        <v>8.4</v>
      </c>
      <c r="F414" s="3">
        <f t="shared" ref="F414:F424" si="39">ROUND(G414/C414,0)</f>
        <v>2</v>
      </c>
      <c r="G414" s="42">
        <f t="shared" ref="G414:G424" si="40">ROUND(D414*E414,0)</f>
        <v>630</v>
      </c>
    </row>
    <row r="415" spans="1:7" s="401" customFormat="1" ht="15" hidden="1" customHeight="1" x14ac:dyDescent="0.25">
      <c r="A415" s="6">
        <v>1</v>
      </c>
      <c r="B415" s="4" t="s">
        <v>106</v>
      </c>
      <c r="C415" s="28">
        <v>340</v>
      </c>
      <c r="D415" s="61">
        <v>7</v>
      </c>
      <c r="E415" s="478">
        <v>10</v>
      </c>
      <c r="F415" s="3">
        <f t="shared" si="39"/>
        <v>0</v>
      </c>
      <c r="G415" s="42">
        <f t="shared" si="40"/>
        <v>70</v>
      </c>
    </row>
    <row r="416" spans="1:7" s="401" customFormat="1" ht="18" hidden="1" customHeight="1" x14ac:dyDescent="0.25">
      <c r="A416" s="6">
        <v>1</v>
      </c>
      <c r="B416" s="4" t="s">
        <v>58</v>
      </c>
      <c r="C416" s="28">
        <v>340</v>
      </c>
      <c r="D416" s="61">
        <v>15</v>
      </c>
      <c r="E416" s="478">
        <v>11.5</v>
      </c>
      <c r="F416" s="3">
        <f t="shared" si="39"/>
        <v>1</v>
      </c>
      <c r="G416" s="42">
        <f t="shared" si="40"/>
        <v>173</v>
      </c>
    </row>
    <row r="417" spans="1:7" s="401" customFormat="1" ht="16.5" hidden="1" customHeight="1" x14ac:dyDescent="0.25">
      <c r="A417" s="6">
        <v>1</v>
      </c>
      <c r="B417" s="4" t="s">
        <v>12</v>
      </c>
      <c r="C417" s="28">
        <v>340</v>
      </c>
      <c r="D417" s="61">
        <v>20</v>
      </c>
      <c r="E417" s="478">
        <v>8.9</v>
      </c>
      <c r="F417" s="3">
        <f t="shared" si="39"/>
        <v>1</v>
      </c>
      <c r="G417" s="42">
        <f t="shared" si="40"/>
        <v>178</v>
      </c>
    </row>
    <row r="418" spans="1:7" s="401" customFormat="1" ht="19.5" hidden="1" customHeight="1" x14ac:dyDescent="0.25">
      <c r="A418" s="6">
        <v>1</v>
      </c>
      <c r="B418" s="4" t="s">
        <v>22</v>
      </c>
      <c r="C418" s="28">
        <v>340</v>
      </c>
      <c r="D418" s="61">
        <v>77</v>
      </c>
      <c r="E418" s="478">
        <v>10</v>
      </c>
      <c r="F418" s="3">
        <f t="shared" si="39"/>
        <v>2</v>
      </c>
      <c r="G418" s="42">
        <f t="shared" si="40"/>
        <v>770</v>
      </c>
    </row>
    <row r="419" spans="1:7" s="401" customFormat="1" ht="19.5" hidden="1" customHeight="1" x14ac:dyDescent="0.25">
      <c r="A419" s="6">
        <v>1</v>
      </c>
      <c r="B419" s="4" t="s">
        <v>34</v>
      </c>
      <c r="C419" s="28">
        <v>340</v>
      </c>
      <c r="D419" s="61">
        <v>16</v>
      </c>
      <c r="E419" s="478">
        <v>10</v>
      </c>
      <c r="F419" s="3">
        <f t="shared" si="39"/>
        <v>0</v>
      </c>
      <c r="G419" s="42">
        <f t="shared" si="40"/>
        <v>160</v>
      </c>
    </row>
    <row r="420" spans="1:7" s="401" customFormat="1" ht="18.75" hidden="1" customHeight="1" x14ac:dyDescent="0.25">
      <c r="A420" s="6">
        <v>1</v>
      </c>
      <c r="B420" s="4" t="s">
        <v>23</v>
      </c>
      <c r="C420" s="28">
        <v>340</v>
      </c>
      <c r="D420" s="61">
        <v>20</v>
      </c>
      <c r="E420" s="478">
        <v>6.1</v>
      </c>
      <c r="F420" s="3">
        <f t="shared" si="39"/>
        <v>0</v>
      </c>
      <c r="G420" s="42">
        <f t="shared" si="40"/>
        <v>122</v>
      </c>
    </row>
    <row r="421" spans="1:7" s="401" customFormat="1" ht="18" hidden="1" customHeight="1" x14ac:dyDescent="0.25">
      <c r="A421" s="6">
        <v>1</v>
      </c>
      <c r="B421" s="4" t="s">
        <v>57</v>
      </c>
      <c r="C421" s="28">
        <v>340</v>
      </c>
      <c r="D421" s="61">
        <v>25</v>
      </c>
      <c r="E421" s="478">
        <v>12</v>
      </c>
      <c r="F421" s="3">
        <f t="shared" si="39"/>
        <v>1</v>
      </c>
      <c r="G421" s="42">
        <f t="shared" si="40"/>
        <v>300</v>
      </c>
    </row>
    <row r="422" spans="1:7" s="401" customFormat="1" ht="18.75" hidden="1" customHeight="1" x14ac:dyDescent="0.25">
      <c r="A422" s="6">
        <v>1</v>
      </c>
      <c r="B422" s="4" t="s">
        <v>45</v>
      </c>
      <c r="C422" s="28">
        <v>340</v>
      </c>
      <c r="D422" s="61">
        <v>20</v>
      </c>
      <c r="E422" s="478">
        <v>7.4</v>
      </c>
      <c r="F422" s="3">
        <f t="shared" si="39"/>
        <v>0</v>
      </c>
      <c r="G422" s="42">
        <f t="shared" si="40"/>
        <v>148</v>
      </c>
    </row>
    <row r="423" spans="1:7" s="401" customFormat="1" ht="18" hidden="1" customHeight="1" x14ac:dyDescent="0.25">
      <c r="A423" s="6">
        <v>1</v>
      </c>
      <c r="B423" s="4" t="s">
        <v>298</v>
      </c>
      <c r="C423" s="28">
        <v>340</v>
      </c>
      <c r="D423" s="61">
        <v>20</v>
      </c>
      <c r="E423" s="478">
        <v>6</v>
      </c>
      <c r="F423" s="3">
        <f t="shared" si="39"/>
        <v>0</v>
      </c>
      <c r="G423" s="42">
        <f t="shared" si="40"/>
        <v>120</v>
      </c>
    </row>
    <row r="424" spans="1:7" s="401" customFormat="1" ht="18" hidden="1" customHeight="1" x14ac:dyDescent="0.25">
      <c r="A424" s="6">
        <v>1</v>
      </c>
      <c r="B424" s="4" t="s">
        <v>21</v>
      </c>
      <c r="C424" s="28">
        <v>340</v>
      </c>
      <c r="D424" s="61">
        <v>65</v>
      </c>
      <c r="E424" s="478">
        <v>10.6</v>
      </c>
      <c r="F424" s="3">
        <f t="shared" si="39"/>
        <v>2</v>
      </c>
      <c r="G424" s="42">
        <f t="shared" si="40"/>
        <v>689</v>
      </c>
    </row>
    <row r="425" spans="1:7" s="401" customFormat="1" ht="21" hidden="1" customHeight="1" x14ac:dyDescent="0.25">
      <c r="A425" s="6">
        <v>1</v>
      </c>
      <c r="B425" s="474" t="s">
        <v>5</v>
      </c>
      <c r="C425" s="409"/>
      <c r="D425" s="479">
        <f>SUM(D414:D424)</f>
        <v>360</v>
      </c>
      <c r="E425" s="17">
        <f>G425/D425</f>
        <v>9.3333333333333339</v>
      </c>
      <c r="F425" s="480">
        <f>SUM(F414:F424)</f>
        <v>9</v>
      </c>
      <c r="G425" s="480">
        <f>SUM(G414:G424)</f>
        <v>3360</v>
      </c>
    </row>
    <row r="426" spans="1:7" s="46" customFormat="1" ht="18.75" hidden="1" customHeight="1" x14ac:dyDescent="0.25">
      <c r="A426" s="6">
        <v>1</v>
      </c>
      <c r="B426" s="21" t="s">
        <v>205</v>
      </c>
      <c r="C426" s="21"/>
      <c r="D426" s="215"/>
      <c r="E426" s="45"/>
      <c r="F426" s="45"/>
      <c r="G426" s="45"/>
    </row>
    <row r="427" spans="1:7" s="46" customFormat="1" ht="30" hidden="1" x14ac:dyDescent="0.25">
      <c r="A427" s="6">
        <v>1</v>
      </c>
      <c r="B427" s="23" t="s">
        <v>321</v>
      </c>
      <c r="C427" s="47"/>
      <c r="D427" s="358">
        <f>SUM(D429,D430,D431,D432)+D428/2.7</f>
        <v>5485.1851851851852</v>
      </c>
      <c r="E427" s="45"/>
      <c r="F427" s="45"/>
      <c r="G427" s="45"/>
    </row>
    <row r="428" spans="1:7" s="46" customFormat="1" hidden="1" x14ac:dyDescent="0.25">
      <c r="A428" s="6">
        <v>1</v>
      </c>
      <c r="B428" s="23" t="s">
        <v>286</v>
      </c>
      <c r="C428" s="22"/>
      <c r="D428" s="208">
        <v>500</v>
      </c>
      <c r="E428" s="209"/>
      <c r="F428" s="209"/>
      <c r="G428" s="209"/>
    </row>
    <row r="429" spans="1:7" s="46" customFormat="1" hidden="1" x14ac:dyDescent="0.25">
      <c r="A429" s="6">
        <v>1</v>
      </c>
      <c r="B429" s="48" t="s">
        <v>206</v>
      </c>
      <c r="C429" s="47"/>
      <c r="D429" s="481"/>
      <c r="E429" s="45"/>
      <c r="F429" s="45"/>
      <c r="G429" s="45"/>
    </row>
    <row r="430" spans="1:7" s="46" customFormat="1" ht="17.25" hidden="1" customHeight="1" x14ac:dyDescent="0.25">
      <c r="A430" s="6">
        <v>1</v>
      </c>
      <c r="B430" s="48" t="s">
        <v>207</v>
      </c>
      <c r="C430" s="47"/>
      <c r="D430" s="358">
        <v>300</v>
      </c>
      <c r="E430" s="45"/>
      <c r="F430" s="45"/>
      <c r="G430" s="45"/>
    </row>
    <row r="431" spans="1:7" s="46" customFormat="1" ht="30" hidden="1" x14ac:dyDescent="0.25">
      <c r="A431" s="6">
        <v>1</v>
      </c>
      <c r="B431" s="48" t="s">
        <v>208</v>
      </c>
      <c r="C431" s="47"/>
      <c r="D431" s="358"/>
      <c r="E431" s="45"/>
      <c r="F431" s="45"/>
      <c r="G431" s="45"/>
    </row>
    <row r="432" spans="1:7" s="46" customFormat="1" hidden="1" x14ac:dyDescent="0.25">
      <c r="A432" s="6">
        <v>1</v>
      </c>
      <c r="B432" s="23" t="s">
        <v>209</v>
      </c>
      <c r="C432" s="47"/>
      <c r="D432" s="358">
        <v>5000</v>
      </c>
      <c r="E432" s="45"/>
      <c r="F432" s="45"/>
      <c r="G432" s="45"/>
    </row>
    <row r="433" spans="1:7" s="46" customFormat="1" ht="45" hidden="1" x14ac:dyDescent="0.25">
      <c r="A433" s="6">
        <v>1</v>
      </c>
      <c r="B433" s="23" t="s">
        <v>285</v>
      </c>
      <c r="C433" s="47"/>
      <c r="D433" s="358">
        <v>0</v>
      </c>
      <c r="E433" s="45"/>
      <c r="F433" s="45"/>
      <c r="G433" s="45"/>
    </row>
    <row r="434" spans="1:7" s="401" customFormat="1" hidden="1" x14ac:dyDescent="0.25">
      <c r="A434" s="6">
        <v>1</v>
      </c>
      <c r="B434" s="24" t="s">
        <v>118</v>
      </c>
      <c r="C434" s="28"/>
      <c r="D434" s="358">
        <f>D435+D436</f>
        <v>1500.4705882352941</v>
      </c>
      <c r="E434" s="357"/>
      <c r="F434" s="357"/>
      <c r="G434" s="42"/>
    </row>
    <row r="435" spans="1:7" s="401" customFormat="1" hidden="1" x14ac:dyDescent="0.25">
      <c r="A435" s="6">
        <v>1</v>
      </c>
      <c r="B435" s="24" t="s">
        <v>259</v>
      </c>
      <c r="C435" s="443"/>
      <c r="D435" s="358">
        <v>1324</v>
      </c>
      <c r="E435" s="357"/>
      <c r="F435" s="357"/>
      <c r="G435" s="42"/>
    </row>
    <row r="436" spans="1:7" s="401" customFormat="1" hidden="1" x14ac:dyDescent="0.25">
      <c r="A436" s="6">
        <v>1</v>
      </c>
      <c r="B436" s="24" t="s">
        <v>261</v>
      </c>
      <c r="C436" s="443"/>
      <c r="D436" s="358">
        <f>D437/8.5</f>
        <v>176.47058823529412</v>
      </c>
      <c r="E436" s="357"/>
      <c r="F436" s="357"/>
      <c r="G436" s="42"/>
    </row>
    <row r="437" spans="1:7" s="46" customFormat="1" hidden="1" x14ac:dyDescent="0.25">
      <c r="A437" s="6">
        <v>1</v>
      </c>
      <c r="B437" s="44" t="s">
        <v>260</v>
      </c>
      <c r="C437" s="262"/>
      <c r="D437" s="358">
        <v>1500</v>
      </c>
      <c r="E437" s="45"/>
      <c r="F437" s="45"/>
      <c r="G437" s="45"/>
    </row>
    <row r="438" spans="1:7" s="46" customFormat="1" ht="15.75" hidden="1" customHeight="1" x14ac:dyDescent="0.25">
      <c r="A438" s="6">
        <v>1</v>
      </c>
      <c r="B438" s="49" t="s">
        <v>210</v>
      </c>
      <c r="C438" s="50"/>
      <c r="D438" s="366">
        <f>D427+ROUND(D435*3.2,0)+D437/3.9</f>
        <v>10106.800569800571</v>
      </c>
      <c r="E438" s="51"/>
      <c r="F438" s="51"/>
      <c r="G438" s="51"/>
    </row>
    <row r="439" spans="1:7" s="46" customFormat="1" ht="15.75" hidden="1" customHeight="1" x14ac:dyDescent="0.25">
      <c r="A439" s="6">
        <v>1</v>
      </c>
      <c r="B439" s="21" t="s">
        <v>153</v>
      </c>
      <c r="C439" s="22"/>
      <c r="D439" s="358"/>
      <c r="E439" s="51"/>
      <c r="F439" s="51"/>
      <c r="G439" s="51"/>
    </row>
    <row r="440" spans="1:7" s="46" customFormat="1" ht="28.5" hidden="1" customHeight="1" x14ac:dyDescent="0.25">
      <c r="A440" s="6">
        <v>1</v>
      </c>
      <c r="B440" s="23" t="s">
        <v>321</v>
      </c>
      <c r="C440" s="22"/>
      <c r="D440" s="358">
        <f>D442+D457+D449</f>
        <v>1204</v>
      </c>
      <c r="E440" s="51"/>
      <c r="F440" s="51"/>
      <c r="G440" s="51"/>
    </row>
    <row r="441" spans="1:7" s="46" customFormat="1" ht="15.75" hidden="1" customHeight="1" x14ac:dyDescent="0.25">
      <c r="A441" s="6">
        <v>1</v>
      </c>
      <c r="B441" s="23" t="s">
        <v>206</v>
      </c>
      <c r="C441" s="22"/>
      <c r="D441" s="358"/>
      <c r="E441" s="51"/>
      <c r="F441" s="51"/>
      <c r="G441" s="51"/>
    </row>
    <row r="442" spans="1:7" s="46" customFormat="1" ht="15.75" hidden="1" customHeight="1" x14ac:dyDescent="0.25">
      <c r="A442" s="6">
        <v>1</v>
      </c>
      <c r="B442" s="48" t="s">
        <v>211</v>
      </c>
      <c r="C442" s="22"/>
      <c r="D442" s="358">
        <f>D443+D444+D445+D447</f>
        <v>854</v>
      </c>
      <c r="E442" s="51"/>
      <c r="F442" s="51"/>
      <c r="G442" s="51"/>
    </row>
    <row r="443" spans="1:7" s="46" customFormat="1" ht="19.5" hidden="1" customHeight="1" x14ac:dyDescent="0.25">
      <c r="A443" s="6">
        <v>1</v>
      </c>
      <c r="B443" s="52" t="s">
        <v>212</v>
      </c>
      <c r="C443" s="22"/>
      <c r="D443" s="358">
        <f>1200-700</f>
        <v>500</v>
      </c>
      <c r="E443" s="51"/>
      <c r="F443" s="51"/>
      <c r="G443" s="51"/>
    </row>
    <row r="444" spans="1:7" s="46" customFormat="1" ht="15.75" hidden="1" customHeight="1" x14ac:dyDescent="0.25">
      <c r="A444" s="6">
        <v>1</v>
      </c>
      <c r="B444" s="52" t="s">
        <v>213</v>
      </c>
      <c r="C444" s="22"/>
      <c r="D444" s="358">
        <v>354</v>
      </c>
      <c r="E444" s="51"/>
      <c r="F444" s="51"/>
      <c r="G444" s="51"/>
    </row>
    <row r="445" spans="1:7" s="46" customFormat="1" ht="30.75" hidden="1" customHeight="1" x14ac:dyDescent="0.25">
      <c r="A445" s="6">
        <v>1</v>
      </c>
      <c r="B445" s="52" t="s">
        <v>214</v>
      </c>
      <c r="C445" s="22"/>
      <c r="D445" s="481"/>
      <c r="E445" s="51"/>
      <c r="F445" s="51"/>
      <c r="G445" s="51"/>
    </row>
    <row r="446" spans="1:7" s="46" customFormat="1" hidden="1" x14ac:dyDescent="0.25">
      <c r="A446" s="6">
        <v>1</v>
      </c>
      <c r="B446" s="52" t="s">
        <v>215</v>
      </c>
      <c r="C446" s="22"/>
      <c r="D446" s="481"/>
      <c r="E446" s="51"/>
      <c r="F446" s="51"/>
      <c r="G446" s="51"/>
    </row>
    <row r="447" spans="1:7" s="46" customFormat="1" ht="30" hidden="1" x14ac:dyDescent="0.25">
      <c r="A447" s="6">
        <v>1</v>
      </c>
      <c r="B447" s="52" t="s">
        <v>216</v>
      </c>
      <c r="C447" s="22"/>
      <c r="D447" s="481"/>
      <c r="E447" s="51"/>
      <c r="F447" s="51"/>
      <c r="G447" s="51"/>
    </row>
    <row r="448" spans="1:7" s="46" customFormat="1" hidden="1" x14ac:dyDescent="0.25">
      <c r="A448" s="6">
        <v>1</v>
      </c>
      <c r="B448" s="52" t="s">
        <v>215</v>
      </c>
      <c r="C448" s="22"/>
      <c r="D448" s="482"/>
      <c r="E448" s="51"/>
      <c r="F448" s="51"/>
      <c r="G448" s="51"/>
    </row>
    <row r="449" spans="1:7" s="46" customFormat="1" ht="30" hidden="1" customHeight="1" x14ac:dyDescent="0.25">
      <c r="A449" s="6">
        <v>1</v>
      </c>
      <c r="B449" s="48" t="s">
        <v>217</v>
      </c>
      <c r="C449" s="22"/>
      <c r="D449" s="358">
        <f>SUM(D450,D451,D453)</f>
        <v>350</v>
      </c>
      <c r="E449" s="51"/>
      <c r="F449" s="51"/>
      <c r="G449" s="51"/>
    </row>
    <row r="450" spans="1:7" s="46" customFormat="1" ht="30" hidden="1" x14ac:dyDescent="0.25">
      <c r="A450" s="6">
        <v>1</v>
      </c>
      <c r="B450" s="52" t="s">
        <v>218</v>
      </c>
      <c r="C450" s="22"/>
      <c r="D450" s="358">
        <v>350</v>
      </c>
      <c r="E450" s="51"/>
      <c r="F450" s="51"/>
      <c r="G450" s="51"/>
    </row>
    <row r="451" spans="1:7" s="46" customFormat="1" ht="60" hidden="1" x14ac:dyDescent="0.25">
      <c r="A451" s="6">
        <v>1</v>
      </c>
      <c r="B451" s="52" t="s">
        <v>219</v>
      </c>
      <c r="C451" s="22"/>
      <c r="D451" s="434"/>
      <c r="E451" s="51"/>
      <c r="F451" s="51"/>
      <c r="G451" s="51"/>
    </row>
    <row r="452" spans="1:7" s="46" customFormat="1" hidden="1" x14ac:dyDescent="0.25">
      <c r="A452" s="6">
        <v>1</v>
      </c>
      <c r="B452" s="52" t="s">
        <v>215</v>
      </c>
      <c r="C452" s="22"/>
      <c r="D452" s="434"/>
      <c r="E452" s="51"/>
      <c r="F452" s="51"/>
      <c r="G452" s="51"/>
    </row>
    <row r="453" spans="1:7" s="46" customFormat="1" ht="45" hidden="1" x14ac:dyDescent="0.25">
      <c r="A453" s="6">
        <v>1</v>
      </c>
      <c r="B453" s="52" t="s">
        <v>220</v>
      </c>
      <c r="C453" s="22"/>
      <c r="D453" s="434"/>
      <c r="E453" s="51"/>
      <c r="F453" s="51"/>
      <c r="G453" s="51"/>
    </row>
    <row r="454" spans="1:7" s="46" customFormat="1" hidden="1" x14ac:dyDescent="0.25">
      <c r="A454" s="6">
        <v>1</v>
      </c>
      <c r="B454" s="52" t="s">
        <v>215</v>
      </c>
      <c r="C454" s="22"/>
      <c r="D454" s="434"/>
      <c r="E454" s="51"/>
      <c r="F454" s="51"/>
      <c r="G454" s="51"/>
    </row>
    <row r="455" spans="1:7" s="46" customFormat="1" ht="31.5" hidden="1" customHeight="1" x14ac:dyDescent="0.25">
      <c r="A455" s="6">
        <v>1</v>
      </c>
      <c r="B455" s="48" t="s">
        <v>221</v>
      </c>
      <c r="C455" s="22"/>
      <c r="D455" s="358"/>
      <c r="E455" s="51"/>
      <c r="F455" s="51"/>
      <c r="G455" s="51"/>
    </row>
    <row r="456" spans="1:7" s="46" customFormat="1" ht="15.75" hidden="1" customHeight="1" x14ac:dyDescent="0.25">
      <c r="A456" s="6">
        <v>1</v>
      </c>
      <c r="B456" s="48" t="s">
        <v>222</v>
      </c>
      <c r="C456" s="22"/>
      <c r="D456" s="358"/>
      <c r="E456" s="51"/>
      <c r="F456" s="51"/>
      <c r="G456" s="51"/>
    </row>
    <row r="457" spans="1:7" s="46" customFormat="1" ht="15.75" hidden="1" customHeight="1" x14ac:dyDescent="0.25">
      <c r="A457" s="6">
        <v>1</v>
      </c>
      <c r="B457" s="23" t="s">
        <v>223</v>
      </c>
      <c r="C457" s="22"/>
      <c r="D457" s="358"/>
      <c r="E457" s="51"/>
      <c r="F457" s="51"/>
      <c r="G457" s="51"/>
    </row>
    <row r="458" spans="1:7" s="46" customFormat="1" hidden="1" x14ac:dyDescent="0.25">
      <c r="A458" s="6">
        <v>1</v>
      </c>
      <c r="B458" s="24" t="s">
        <v>118</v>
      </c>
      <c r="C458" s="47"/>
      <c r="D458" s="481"/>
      <c r="E458" s="51"/>
      <c r="F458" s="51"/>
      <c r="G458" s="51"/>
    </row>
    <row r="459" spans="1:7" s="46" customFormat="1" hidden="1" x14ac:dyDescent="0.25">
      <c r="A459" s="6">
        <v>1</v>
      </c>
      <c r="B459" s="44" t="s">
        <v>150</v>
      </c>
      <c r="C459" s="47"/>
      <c r="D459" s="482"/>
      <c r="E459" s="51"/>
      <c r="F459" s="51"/>
      <c r="G459" s="51"/>
    </row>
    <row r="460" spans="1:7" s="401" customFormat="1" ht="30" hidden="1" x14ac:dyDescent="0.25">
      <c r="A460" s="6">
        <v>1</v>
      </c>
      <c r="B460" s="24" t="s">
        <v>119</v>
      </c>
      <c r="C460" s="28"/>
      <c r="D460" s="358">
        <v>100</v>
      </c>
      <c r="E460" s="357"/>
      <c r="F460" s="357"/>
      <c r="G460" s="42"/>
    </row>
    <row r="461" spans="1:7" s="46" customFormat="1" ht="15.75" hidden="1" customHeight="1" x14ac:dyDescent="0.25">
      <c r="A461" s="6">
        <v>1</v>
      </c>
      <c r="B461" s="24" t="s">
        <v>224</v>
      </c>
      <c r="C461" s="22"/>
      <c r="D461" s="358"/>
      <c r="E461" s="51"/>
      <c r="F461" s="51"/>
      <c r="G461" s="51"/>
    </row>
    <row r="462" spans="1:7" s="46" customFormat="1" hidden="1" x14ac:dyDescent="0.25">
      <c r="A462" s="6">
        <v>1</v>
      </c>
      <c r="B462" s="53" t="s">
        <v>225</v>
      </c>
      <c r="C462" s="22"/>
      <c r="D462" s="358"/>
      <c r="E462" s="51"/>
      <c r="F462" s="51"/>
      <c r="G462" s="51"/>
    </row>
    <row r="463" spans="1:7" s="46" customFormat="1" hidden="1" x14ac:dyDescent="0.25">
      <c r="A463" s="6">
        <v>1</v>
      </c>
      <c r="B463" s="54" t="s">
        <v>152</v>
      </c>
      <c r="C463" s="22"/>
      <c r="D463" s="366">
        <f>D440+ROUND(D458*3.2,0)+D460</f>
        <v>1304</v>
      </c>
      <c r="E463" s="51"/>
      <c r="F463" s="51"/>
      <c r="G463" s="51"/>
    </row>
    <row r="464" spans="1:7" s="46" customFormat="1" ht="15.75" hidden="1" customHeight="1" x14ac:dyDescent="0.25">
      <c r="A464" s="6">
        <v>1</v>
      </c>
      <c r="B464" s="55" t="s">
        <v>151</v>
      </c>
      <c r="C464" s="22"/>
      <c r="D464" s="366">
        <f>SUM(D438,D463)</f>
        <v>11410.800569800571</v>
      </c>
      <c r="E464" s="51"/>
      <c r="F464" s="51"/>
      <c r="G464" s="51"/>
    </row>
    <row r="465" spans="1:9" s="401" customFormat="1" ht="18.75" hidden="1" customHeight="1" x14ac:dyDescent="0.25">
      <c r="A465" s="6">
        <v>1</v>
      </c>
      <c r="B465" s="34" t="s">
        <v>7</v>
      </c>
      <c r="C465" s="28"/>
      <c r="D465" s="434"/>
      <c r="E465" s="357"/>
      <c r="F465" s="357"/>
      <c r="G465" s="42"/>
    </row>
    <row r="466" spans="1:9" s="401" customFormat="1" ht="16.5" hidden="1" customHeight="1" x14ac:dyDescent="0.25">
      <c r="A466" s="6">
        <v>1</v>
      </c>
      <c r="B466" s="43" t="s">
        <v>20</v>
      </c>
      <c r="C466" s="28"/>
      <c r="D466" s="434"/>
      <c r="E466" s="357"/>
      <c r="F466" s="436"/>
      <c r="G466" s="209"/>
    </row>
    <row r="467" spans="1:9" s="401" customFormat="1" ht="18" hidden="1" customHeight="1" x14ac:dyDescent="0.25">
      <c r="A467" s="6">
        <v>1</v>
      </c>
      <c r="B467" s="30" t="s">
        <v>37</v>
      </c>
      <c r="C467" s="28">
        <v>240</v>
      </c>
      <c r="D467" s="434"/>
      <c r="E467" s="218">
        <v>8</v>
      </c>
      <c r="F467" s="3">
        <f>ROUND(G467/C467,0)</f>
        <v>0</v>
      </c>
      <c r="G467" s="42">
        <f>ROUND(D467*E467,0)</f>
        <v>0</v>
      </c>
    </row>
    <row r="468" spans="1:9" s="401" customFormat="1" ht="14.25" hidden="1" customHeight="1" x14ac:dyDescent="0.25">
      <c r="A468" s="6">
        <v>1</v>
      </c>
      <c r="B468" s="30" t="s">
        <v>11</v>
      </c>
      <c r="C468" s="28">
        <v>240</v>
      </c>
      <c r="D468" s="434"/>
      <c r="E468" s="218">
        <v>0</v>
      </c>
      <c r="F468" s="3">
        <f>ROUND(G468/C468,0)</f>
        <v>0</v>
      </c>
      <c r="G468" s="42">
        <f>ROUND(D468*E468,0)</f>
        <v>0</v>
      </c>
    </row>
    <row r="469" spans="1:9" s="401" customFormat="1" ht="21" hidden="1" customHeight="1" x14ac:dyDescent="0.25">
      <c r="A469" s="6">
        <v>1</v>
      </c>
      <c r="B469" s="219" t="s">
        <v>141</v>
      </c>
      <c r="C469" s="28"/>
      <c r="D469" s="483">
        <f>D467+D468</f>
        <v>0</v>
      </c>
      <c r="E469" s="17" t="e">
        <f t="shared" ref="E469:E470" si="41">G469/D469</f>
        <v>#DIV/0!</v>
      </c>
      <c r="F469" s="432">
        <f>F467+F468</f>
        <v>0</v>
      </c>
      <c r="G469" s="432">
        <f>G467+G468</f>
        <v>0</v>
      </c>
    </row>
    <row r="470" spans="1:9" s="401" customFormat="1" ht="24.75" hidden="1" customHeight="1" thickBot="1" x14ac:dyDescent="0.3">
      <c r="A470" s="6">
        <v>1</v>
      </c>
      <c r="B470" s="31" t="s">
        <v>116</v>
      </c>
      <c r="C470" s="484"/>
      <c r="D470" s="485">
        <f>D469</f>
        <v>0</v>
      </c>
      <c r="E470" s="17" t="e">
        <f t="shared" si="41"/>
        <v>#DIV/0!</v>
      </c>
      <c r="F470" s="486">
        <f t="shared" ref="F470:G470" si="42">F469</f>
        <v>0</v>
      </c>
      <c r="G470" s="486">
        <f t="shared" si="42"/>
        <v>0</v>
      </c>
    </row>
    <row r="471" spans="1:9" s="401" customFormat="1" ht="16.5" hidden="1" customHeight="1" thickBot="1" x14ac:dyDescent="0.3">
      <c r="A471" s="6">
        <v>1</v>
      </c>
      <c r="B471" s="457" t="s">
        <v>10</v>
      </c>
      <c r="C471" s="388"/>
      <c r="D471" s="415"/>
      <c r="E471" s="390"/>
      <c r="F471" s="390"/>
      <c r="G471" s="390"/>
    </row>
    <row r="472" spans="1:9" s="401" customFormat="1" ht="54.75" hidden="1" customHeight="1" x14ac:dyDescent="0.25">
      <c r="A472" s="6">
        <v>1</v>
      </c>
      <c r="B472" s="663" t="s">
        <v>181</v>
      </c>
      <c r="C472" s="487"/>
      <c r="D472" s="434"/>
      <c r="E472" s="42"/>
      <c r="F472" s="42"/>
      <c r="G472" s="42"/>
    </row>
    <row r="473" spans="1:9" s="401" customFormat="1" ht="15.75" hidden="1" x14ac:dyDescent="0.25">
      <c r="A473" s="6">
        <v>1</v>
      </c>
      <c r="B473" s="488" t="s">
        <v>4</v>
      </c>
      <c r="C473" s="16"/>
      <c r="D473" s="434"/>
      <c r="E473" s="42"/>
      <c r="F473" s="42"/>
      <c r="G473" s="42"/>
    </row>
    <row r="474" spans="1:9" s="401" customFormat="1" hidden="1" x14ac:dyDescent="0.25">
      <c r="A474" s="6">
        <v>1</v>
      </c>
      <c r="B474" s="30" t="s">
        <v>22</v>
      </c>
      <c r="C474" s="28">
        <v>340</v>
      </c>
      <c r="D474" s="477">
        <v>500</v>
      </c>
      <c r="E474" s="478">
        <v>7</v>
      </c>
      <c r="F474" s="3">
        <f>ROUND(G474/C474,0)</f>
        <v>10</v>
      </c>
      <c r="G474" s="42">
        <f>ROUND(D474*E474,0)</f>
        <v>3500</v>
      </c>
    </row>
    <row r="475" spans="1:9" s="401" customFormat="1" hidden="1" x14ac:dyDescent="0.25">
      <c r="A475" s="6">
        <v>1</v>
      </c>
      <c r="B475" s="30" t="s">
        <v>61</v>
      </c>
      <c r="C475" s="28">
        <v>340</v>
      </c>
      <c r="D475" s="477">
        <v>2362</v>
      </c>
      <c r="E475" s="478">
        <v>5.3</v>
      </c>
      <c r="F475" s="3">
        <f>ROUND(G475/C475,0)</f>
        <v>37</v>
      </c>
      <c r="G475" s="42">
        <f>ROUND(D475*E475,0)</f>
        <v>12519</v>
      </c>
    </row>
    <row r="476" spans="1:9" s="401" customFormat="1" ht="18.75" hidden="1" customHeight="1" x14ac:dyDescent="0.25">
      <c r="A476" s="6">
        <v>1</v>
      </c>
      <c r="B476" s="489" t="s">
        <v>5</v>
      </c>
      <c r="C476" s="409"/>
      <c r="D476" s="483">
        <f>D474+D475</f>
        <v>2862</v>
      </c>
      <c r="E476" s="17">
        <f>G476/D476</f>
        <v>5.5971348707197768</v>
      </c>
      <c r="F476" s="432">
        <f>F474+F475</f>
        <v>47</v>
      </c>
      <c r="G476" s="432">
        <f t="shared" ref="G476" si="43">G474+G475</f>
        <v>16019</v>
      </c>
      <c r="H476" s="490"/>
      <c r="I476" s="491"/>
    </row>
    <row r="477" spans="1:9" s="401" customFormat="1" ht="21" hidden="1" customHeight="1" x14ac:dyDescent="0.25">
      <c r="A477" s="6">
        <v>1</v>
      </c>
      <c r="B477" s="21" t="s">
        <v>185</v>
      </c>
      <c r="C477" s="207"/>
      <c r="D477" s="358"/>
      <c r="E477" s="3"/>
      <c r="F477" s="3"/>
      <c r="G477" s="3"/>
    </row>
    <row r="478" spans="1:9" s="401" customFormat="1" ht="30" hidden="1" x14ac:dyDescent="0.25">
      <c r="A478" s="6">
        <v>1</v>
      </c>
      <c r="B478" s="23" t="s">
        <v>321</v>
      </c>
      <c r="C478" s="207"/>
      <c r="D478" s="358">
        <f>D479+D480</f>
        <v>12900</v>
      </c>
      <c r="E478" s="3"/>
      <c r="F478" s="3"/>
      <c r="G478" s="3"/>
    </row>
    <row r="479" spans="1:9" s="401" customFormat="1" ht="45" hidden="1" x14ac:dyDescent="0.25">
      <c r="A479" s="6">
        <v>1</v>
      </c>
      <c r="B479" s="350" t="s">
        <v>221</v>
      </c>
      <c r="C479" s="207"/>
      <c r="D479" s="358">
        <v>400</v>
      </c>
      <c r="E479" s="3"/>
      <c r="F479" s="3"/>
      <c r="G479" s="3"/>
    </row>
    <row r="480" spans="1:9" s="401" customFormat="1" hidden="1" x14ac:dyDescent="0.25">
      <c r="A480" s="6">
        <v>1</v>
      </c>
      <c r="B480" s="350" t="s">
        <v>223</v>
      </c>
      <c r="C480" s="207"/>
      <c r="D480" s="358">
        <v>12500</v>
      </c>
      <c r="E480" s="3"/>
      <c r="F480" s="3"/>
      <c r="G480" s="3"/>
    </row>
    <row r="481" spans="1:7" s="401" customFormat="1" hidden="1" x14ac:dyDescent="0.25">
      <c r="A481" s="6">
        <v>1</v>
      </c>
      <c r="B481" s="24" t="s">
        <v>118</v>
      </c>
      <c r="C481" s="22"/>
      <c r="D481" s="358"/>
      <c r="E481" s="357"/>
      <c r="F481" s="357"/>
      <c r="G481" s="42"/>
    </row>
    <row r="482" spans="1:7" s="401" customFormat="1" ht="30" hidden="1" x14ac:dyDescent="0.25">
      <c r="A482" s="6">
        <v>1</v>
      </c>
      <c r="B482" s="24" t="s">
        <v>119</v>
      </c>
      <c r="C482" s="22"/>
      <c r="D482" s="358"/>
      <c r="E482" s="357"/>
      <c r="F482" s="357"/>
      <c r="G482" s="42"/>
    </row>
    <row r="483" spans="1:7" s="401" customFormat="1" ht="21.75" hidden="1" customHeight="1" x14ac:dyDescent="0.25">
      <c r="A483" s="6">
        <v>1</v>
      </c>
      <c r="B483" s="212" t="s">
        <v>151</v>
      </c>
      <c r="C483" s="22"/>
      <c r="D483" s="366">
        <f>D478+ROUND(D481*3.2,0)+D482</f>
        <v>12900</v>
      </c>
      <c r="E483" s="357"/>
      <c r="F483" s="357"/>
      <c r="G483" s="42"/>
    </row>
    <row r="484" spans="1:7" s="401" customFormat="1" ht="21.75" hidden="1" customHeight="1" x14ac:dyDescent="0.25">
      <c r="A484" s="6">
        <v>1</v>
      </c>
      <c r="B484" s="25" t="s">
        <v>120</v>
      </c>
      <c r="C484" s="214"/>
      <c r="D484" s="492">
        <f>SUM(D485:D504)</f>
        <v>7737</v>
      </c>
      <c r="E484" s="357"/>
      <c r="F484" s="357"/>
      <c r="G484" s="42"/>
    </row>
    <row r="485" spans="1:7" s="401" customFormat="1" ht="30" hidden="1" x14ac:dyDescent="0.25">
      <c r="A485" s="6">
        <v>1</v>
      </c>
      <c r="B485" s="36" t="s">
        <v>233</v>
      </c>
      <c r="C485" s="22"/>
      <c r="D485" s="493">
        <v>300</v>
      </c>
      <c r="E485" s="56"/>
      <c r="F485" s="56"/>
      <c r="G485" s="56"/>
    </row>
    <row r="486" spans="1:7" s="401" customFormat="1" ht="30" hidden="1" x14ac:dyDescent="0.25">
      <c r="A486" s="6">
        <v>1</v>
      </c>
      <c r="B486" s="36" t="s">
        <v>234</v>
      </c>
      <c r="C486" s="22"/>
      <c r="D486" s="493">
        <v>200</v>
      </c>
      <c r="E486" s="56"/>
      <c r="F486" s="56"/>
      <c r="G486" s="56"/>
    </row>
    <row r="487" spans="1:7" s="401" customFormat="1" hidden="1" x14ac:dyDescent="0.25">
      <c r="A487" s="6">
        <v>1</v>
      </c>
      <c r="B487" s="36" t="s">
        <v>244</v>
      </c>
      <c r="C487" s="22"/>
      <c r="D487" s="493">
        <v>30</v>
      </c>
      <c r="E487" s="56"/>
      <c r="F487" s="56"/>
      <c r="G487" s="56"/>
    </row>
    <row r="488" spans="1:7" s="401" customFormat="1" ht="45" hidden="1" x14ac:dyDescent="0.25">
      <c r="A488" s="6">
        <v>1</v>
      </c>
      <c r="B488" s="36" t="s">
        <v>245</v>
      </c>
      <c r="C488" s="22"/>
      <c r="D488" s="493">
        <f>1000-213</f>
        <v>787</v>
      </c>
      <c r="E488" s="56"/>
      <c r="F488" s="56"/>
      <c r="G488" s="56"/>
    </row>
    <row r="489" spans="1:7" s="401" customFormat="1" hidden="1" x14ac:dyDescent="0.25">
      <c r="A489" s="6">
        <v>1</v>
      </c>
      <c r="B489" s="36" t="s">
        <v>55</v>
      </c>
      <c r="C489" s="22"/>
      <c r="D489" s="493">
        <v>200</v>
      </c>
      <c r="E489" s="56"/>
      <c r="F489" s="56"/>
      <c r="G489" s="56"/>
    </row>
    <row r="490" spans="1:7" s="401" customFormat="1" hidden="1" x14ac:dyDescent="0.25">
      <c r="A490" s="6">
        <v>1</v>
      </c>
      <c r="B490" s="36" t="s">
        <v>19</v>
      </c>
      <c r="C490" s="22"/>
      <c r="D490" s="493">
        <v>350</v>
      </c>
      <c r="E490" s="56"/>
      <c r="F490" s="56"/>
      <c r="G490" s="56"/>
    </row>
    <row r="491" spans="1:7" s="401" customFormat="1" ht="30" hidden="1" x14ac:dyDescent="0.25">
      <c r="A491" s="6">
        <v>1</v>
      </c>
      <c r="B491" s="36" t="s">
        <v>162</v>
      </c>
      <c r="C491" s="22"/>
      <c r="D491" s="493">
        <v>1000</v>
      </c>
      <c r="E491" s="56"/>
      <c r="F491" s="56"/>
      <c r="G491" s="56"/>
    </row>
    <row r="492" spans="1:7" s="401" customFormat="1" hidden="1" x14ac:dyDescent="0.25">
      <c r="A492" s="6">
        <v>1</v>
      </c>
      <c r="B492" s="36" t="s">
        <v>269</v>
      </c>
      <c r="C492" s="22"/>
      <c r="D492" s="493">
        <v>400</v>
      </c>
      <c r="E492" s="56"/>
      <c r="F492" s="56"/>
      <c r="G492" s="56"/>
    </row>
    <row r="493" spans="1:7" s="401" customFormat="1" hidden="1" x14ac:dyDescent="0.25">
      <c r="A493" s="6">
        <v>1</v>
      </c>
      <c r="B493" s="36" t="s">
        <v>32</v>
      </c>
      <c r="C493" s="22"/>
      <c r="D493" s="493">
        <v>25</v>
      </c>
      <c r="E493" s="56"/>
      <c r="F493" s="56"/>
      <c r="G493" s="56"/>
    </row>
    <row r="494" spans="1:7" s="401" customFormat="1" hidden="1" x14ac:dyDescent="0.25">
      <c r="A494" s="6">
        <v>1</v>
      </c>
      <c r="B494" s="36" t="s">
        <v>121</v>
      </c>
      <c r="C494" s="22"/>
      <c r="D494" s="493">
        <v>20</v>
      </c>
      <c r="E494" s="56"/>
      <c r="F494" s="56"/>
      <c r="G494" s="56"/>
    </row>
    <row r="495" spans="1:7" s="401" customFormat="1" hidden="1" x14ac:dyDescent="0.25">
      <c r="A495" s="6">
        <v>1</v>
      </c>
      <c r="B495" s="36" t="s">
        <v>230</v>
      </c>
      <c r="C495" s="22"/>
      <c r="D495" s="493">
        <v>300</v>
      </c>
      <c r="E495" s="56"/>
      <c r="F495" s="56"/>
      <c r="G495" s="56"/>
    </row>
    <row r="496" spans="1:7" s="401" customFormat="1" hidden="1" x14ac:dyDescent="0.25">
      <c r="A496" s="6">
        <v>1</v>
      </c>
      <c r="B496" s="36" t="s">
        <v>52</v>
      </c>
      <c r="C496" s="22"/>
      <c r="D496" s="493">
        <v>65</v>
      </c>
      <c r="E496" s="56"/>
      <c r="F496" s="56"/>
      <c r="G496" s="56"/>
    </row>
    <row r="497" spans="1:7" s="401" customFormat="1" hidden="1" x14ac:dyDescent="0.25">
      <c r="A497" s="6">
        <v>1</v>
      </c>
      <c r="B497" s="36" t="s">
        <v>54</v>
      </c>
      <c r="C497" s="22"/>
      <c r="D497" s="493">
        <v>40</v>
      </c>
      <c r="E497" s="56"/>
      <c r="F497" s="56"/>
      <c r="G497" s="56"/>
    </row>
    <row r="498" spans="1:7" s="401" customFormat="1" ht="30" hidden="1" x14ac:dyDescent="0.25">
      <c r="A498" s="6">
        <v>1</v>
      </c>
      <c r="B498" s="36" t="s">
        <v>164</v>
      </c>
      <c r="C498" s="22"/>
      <c r="D498" s="493">
        <v>20</v>
      </c>
      <c r="E498" s="56"/>
      <c r="F498" s="56"/>
      <c r="G498" s="56"/>
    </row>
    <row r="499" spans="1:7" s="401" customFormat="1" hidden="1" x14ac:dyDescent="0.25">
      <c r="A499" s="6">
        <v>1</v>
      </c>
      <c r="B499" s="36" t="s">
        <v>18</v>
      </c>
      <c r="C499" s="22"/>
      <c r="D499" s="493">
        <v>1800</v>
      </c>
      <c r="E499" s="56"/>
      <c r="F499" s="56"/>
      <c r="G499" s="56"/>
    </row>
    <row r="500" spans="1:7" s="401" customFormat="1" hidden="1" x14ac:dyDescent="0.25">
      <c r="A500" s="6">
        <v>1</v>
      </c>
      <c r="B500" s="36" t="s">
        <v>248</v>
      </c>
      <c r="C500" s="22"/>
      <c r="D500" s="493">
        <v>150</v>
      </c>
      <c r="E500" s="56"/>
      <c r="F500" s="56"/>
      <c r="G500" s="56"/>
    </row>
    <row r="501" spans="1:7" s="401" customFormat="1" hidden="1" x14ac:dyDescent="0.25">
      <c r="A501" s="6">
        <v>1</v>
      </c>
      <c r="B501" s="36" t="s">
        <v>16</v>
      </c>
      <c r="C501" s="22"/>
      <c r="D501" s="493">
        <v>120</v>
      </c>
      <c r="E501" s="56"/>
      <c r="F501" s="56"/>
      <c r="G501" s="56"/>
    </row>
    <row r="502" spans="1:7" s="401" customFormat="1" ht="30" hidden="1" x14ac:dyDescent="0.25">
      <c r="A502" s="6">
        <v>1</v>
      </c>
      <c r="B502" s="36" t="s">
        <v>255</v>
      </c>
      <c r="C502" s="22"/>
      <c r="D502" s="493">
        <v>30</v>
      </c>
      <c r="E502" s="56"/>
      <c r="F502" s="56"/>
      <c r="G502" s="56"/>
    </row>
    <row r="503" spans="1:7" s="401" customFormat="1" hidden="1" x14ac:dyDescent="0.25">
      <c r="A503" s="6">
        <v>1</v>
      </c>
      <c r="B503" s="36" t="s">
        <v>53</v>
      </c>
      <c r="C503" s="22"/>
      <c r="D503" s="493">
        <v>1700</v>
      </c>
      <c r="E503" s="56"/>
      <c r="F503" s="56"/>
      <c r="G503" s="56"/>
    </row>
    <row r="504" spans="1:7" s="401" customFormat="1" ht="30.75" hidden="1" thickBot="1" x14ac:dyDescent="0.3">
      <c r="A504" s="6">
        <v>1</v>
      </c>
      <c r="B504" s="36" t="s">
        <v>237</v>
      </c>
      <c r="C504" s="22"/>
      <c r="D504" s="494">
        <v>200</v>
      </c>
      <c r="E504" s="56"/>
      <c r="F504" s="56"/>
      <c r="G504" s="56"/>
    </row>
    <row r="505" spans="1:7" s="401" customFormat="1" ht="15.75" hidden="1" thickBot="1" x14ac:dyDescent="0.3">
      <c r="A505" s="6">
        <v>1</v>
      </c>
      <c r="B505" s="457" t="s">
        <v>10</v>
      </c>
      <c r="C505" s="388"/>
      <c r="D505" s="415"/>
      <c r="E505" s="390"/>
      <c r="F505" s="390"/>
      <c r="G505" s="390"/>
    </row>
    <row r="506" spans="1:7" s="500" customFormat="1" ht="78" hidden="1" customHeight="1" thickBot="1" x14ac:dyDescent="0.3">
      <c r="A506" s="6">
        <v>1</v>
      </c>
      <c r="B506" s="495" t="s">
        <v>85</v>
      </c>
      <c r="C506" s="496"/>
      <c r="D506" s="497"/>
      <c r="E506" s="498"/>
      <c r="F506" s="498"/>
      <c r="G506" s="499"/>
    </row>
    <row r="507" spans="1:7" s="401" customFormat="1" ht="22.5" hidden="1" customHeight="1" x14ac:dyDescent="0.25">
      <c r="A507" s="6">
        <v>1</v>
      </c>
      <c r="B507" s="501" t="s">
        <v>4</v>
      </c>
      <c r="C507" s="243"/>
      <c r="D507" s="477"/>
      <c r="E507" s="209"/>
      <c r="F507" s="209"/>
      <c r="G507" s="209"/>
    </row>
    <row r="508" spans="1:7" s="401" customFormat="1" ht="16.5" hidden="1" customHeight="1" x14ac:dyDescent="0.25">
      <c r="A508" s="6">
        <v>1</v>
      </c>
      <c r="B508" s="4" t="s">
        <v>42</v>
      </c>
      <c r="C508" s="5">
        <v>320</v>
      </c>
      <c r="D508" s="99">
        <v>210</v>
      </c>
      <c r="E508" s="478">
        <v>9.6999999999999993</v>
      </c>
      <c r="F508" s="3">
        <f>ROUND(G508/C508,0)</f>
        <v>6</v>
      </c>
      <c r="G508" s="42">
        <f>ROUND(D508*E508,0)</f>
        <v>2037</v>
      </c>
    </row>
    <row r="509" spans="1:7" s="401" customFormat="1" ht="21" hidden="1" customHeight="1" x14ac:dyDescent="0.25">
      <c r="A509" s="6">
        <v>1</v>
      </c>
      <c r="B509" s="474" t="s">
        <v>5</v>
      </c>
      <c r="C509" s="16"/>
      <c r="D509" s="57">
        <f>D508</f>
        <v>210</v>
      </c>
      <c r="E509" s="502">
        <f>E508</f>
        <v>9.6999999999999993</v>
      </c>
      <c r="F509" s="57">
        <f>F508</f>
        <v>6</v>
      </c>
      <c r="G509" s="57">
        <f>G508</f>
        <v>2037</v>
      </c>
    </row>
    <row r="510" spans="1:7" s="401" customFormat="1" hidden="1" x14ac:dyDescent="0.25">
      <c r="A510" s="6">
        <v>1</v>
      </c>
      <c r="B510" s="206" t="s">
        <v>185</v>
      </c>
      <c r="C510" s="207"/>
      <c r="D510" s="358"/>
      <c r="E510" s="431"/>
      <c r="F510" s="57"/>
      <c r="G510" s="209"/>
    </row>
    <row r="511" spans="1:7" s="401" customFormat="1" ht="30" hidden="1" x14ac:dyDescent="0.25">
      <c r="A511" s="6">
        <v>1</v>
      </c>
      <c r="B511" s="23" t="s">
        <v>321</v>
      </c>
      <c r="C511" s="22"/>
      <c r="D511" s="358">
        <f>D512</f>
        <v>3850</v>
      </c>
      <c r="E511" s="431"/>
      <c r="F511" s="57"/>
      <c r="G511" s="209"/>
    </row>
    <row r="512" spans="1:7" s="401" customFormat="1" hidden="1" x14ac:dyDescent="0.25">
      <c r="A512" s="6">
        <v>1</v>
      </c>
      <c r="B512" s="210" t="s">
        <v>223</v>
      </c>
      <c r="C512" s="22"/>
      <c r="D512" s="446">
        <v>3850</v>
      </c>
      <c r="E512" s="431"/>
      <c r="F512" s="57"/>
      <c r="G512" s="209"/>
    </row>
    <row r="513" spans="1:7" s="401" customFormat="1" hidden="1" x14ac:dyDescent="0.25">
      <c r="A513" s="6">
        <v>1</v>
      </c>
      <c r="B513" s="24" t="s">
        <v>118</v>
      </c>
      <c r="C513" s="22"/>
      <c r="D513" s="358"/>
      <c r="E513" s="431"/>
      <c r="F513" s="57"/>
      <c r="G513" s="209"/>
    </row>
    <row r="514" spans="1:7" s="401" customFormat="1" ht="30" hidden="1" x14ac:dyDescent="0.25">
      <c r="A514" s="6">
        <v>1</v>
      </c>
      <c r="B514" s="24" t="s">
        <v>119</v>
      </c>
      <c r="C514" s="22"/>
      <c r="D514" s="358"/>
      <c r="E514" s="431"/>
      <c r="F514" s="57"/>
      <c r="G514" s="209"/>
    </row>
    <row r="515" spans="1:7" s="401" customFormat="1" ht="18" hidden="1" customHeight="1" x14ac:dyDescent="0.25">
      <c r="A515" s="6">
        <v>1</v>
      </c>
      <c r="B515" s="212" t="s">
        <v>151</v>
      </c>
      <c r="C515" s="22"/>
      <c r="D515" s="366">
        <f>D511+ROUND(D513*3.2,0)+D514</f>
        <v>3850</v>
      </c>
      <c r="E515" s="431"/>
      <c r="F515" s="57"/>
      <c r="G515" s="209"/>
    </row>
    <row r="516" spans="1:7" s="401" customFormat="1" ht="24.75" hidden="1" customHeight="1" x14ac:dyDescent="0.25">
      <c r="A516" s="6">
        <v>1</v>
      </c>
      <c r="B516" s="27" t="s">
        <v>7</v>
      </c>
      <c r="C516" s="48"/>
      <c r="D516" s="503"/>
      <c r="E516" s="48"/>
      <c r="F516" s="48"/>
      <c r="G516" s="48"/>
    </row>
    <row r="517" spans="1:7" s="401" customFormat="1" ht="18" hidden="1" customHeight="1" x14ac:dyDescent="0.25">
      <c r="A517" s="6">
        <v>1</v>
      </c>
      <c r="B517" s="43" t="s">
        <v>139</v>
      </c>
      <c r="C517" s="48"/>
      <c r="D517" s="504"/>
      <c r="E517" s="48"/>
      <c r="F517" s="325"/>
      <c r="G517" s="325"/>
    </row>
    <row r="518" spans="1:7" s="401" customFormat="1" ht="18.75" hidden="1" customHeight="1" x14ac:dyDescent="0.25">
      <c r="A518" s="6">
        <v>1</v>
      </c>
      <c r="B518" s="30" t="s">
        <v>26</v>
      </c>
      <c r="C518" s="28">
        <v>240</v>
      </c>
      <c r="D518" s="358">
        <v>210</v>
      </c>
      <c r="E518" s="58">
        <v>9.6999999999999993</v>
      </c>
      <c r="F518" s="3">
        <f>ROUND(G518/C518,0)</f>
        <v>8</v>
      </c>
      <c r="G518" s="42">
        <f>ROUND(D518*E518,0)</f>
        <v>2037</v>
      </c>
    </row>
    <row r="519" spans="1:7" s="401" customFormat="1" ht="18" hidden="1" customHeight="1" x14ac:dyDescent="0.25">
      <c r="A519" s="6">
        <v>1</v>
      </c>
      <c r="B519" s="219" t="s">
        <v>9</v>
      </c>
      <c r="C519" s="5"/>
      <c r="D519" s="379">
        <f t="shared" ref="D519" si="44">D518</f>
        <v>210</v>
      </c>
      <c r="E519" s="505">
        <f t="shared" ref="E519:G520" si="45">E518</f>
        <v>9.6999999999999993</v>
      </c>
      <c r="F519" s="35">
        <f t="shared" si="45"/>
        <v>8</v>
      </c>
      <c r="G519" s="35">
        <f t="shared" si="45"/>
        <v>2037</v>
      </c>
    </row>
    <row r="520" spans="1:7" s="401" customFormat="1" ht="24.75" hidden="1" customHeight="1" thickBot="1" x14ac:dyDescent="0.3">
      <c r="A520" s="6">
        <v>1</v>
      </c>
      <c r="B520" s="332" t="s">
        <v>116</v>
      </c>
      <c r="C520" s="5"/>
      <c r="D520" s="402">
        <f t="shared" ref="D520" si="46">D519</f>
        <v>210</v>
      </c>
      <c r="E520" s="352">
        <f t="shared" si="45"/>
        <v>9.6999999999999993</v>
      </c>
      <c r="F520" s="18">
        <f t="shared" si="45"/>
        <v>8</v>
      </c>
      <c r="G520" s="506">
        <f t="shared" si="45"/>
        <v>2037</v>
      </c>
    </row>
    <row r="521" spans="1:7" s="401" customFormat="1" ht="17.25" hidden="1" customHeight="1" thickBot="1" x14ac:dyDescent="0.3">
      <c r="A521" s="6">
        <v>1</v>
      </c>
      <c r="B521" s="457" t="s">
        <v>10</v>
      </c>
      <c r="C521" s="507"/>
      <c r="D521" s="508"/>
      <c r="E521" s="509"/>
      <c r="F521" s="509"/>
      <c r="G521" s="509"/>
    </row>
    <row r="522" spans="1:7" s="401" customFormat="1" ht="24.75" customHeight="1" x14ac:dyDescent="0.25">
      <c r="A522" s="6">
        <v>1</v>
      </c>
      <c r="B522" s="348" t="s">
        <v>114</v>
      </c>
      <c r="C522" s="470"/>
      <c r="D522" s="434"/>
      <c r="E522" s="42"/>
      <c r="F522" s="42"/>
      <c r="G522" s="42"/>
    </row>
    <row r="523" spans="1:7" s="401" customFormat="1" ht="17.25" customHeight="1" x14ac:dyDescent="0.25">
      <c r="A523" s="6">
        <v>1</v>
      </c>
      <c r="B523" s="356" t="s">
        <v>4</v>
      </c>
      <c r="C523" s="16"/>
      <c r="D523" s="434"/>
      <c r="E523" s="42"/>
      <c r="F523" s="42"/>
      <c r="G523" s="42"/>
    </row>
    <row r="524" spans="1:7" s="401" customFormat="1" ht="20.25" customHeight="1" x14ac:dyDescent="0.25">
      <c r="A524" s="6">
        <v>1</v>
      </c>
      <c r="B524" s="59" t="s">
        <v>137</v>
      </c>
      <c r="C524" s="28">
        <v>340</v>
      </c>
      <c r="D524" s="510">
        <f>460+109-3</f>
        <v>566</v>
      </c>
      <c r="E524" s="60">
        <v>7</v>
      </c>
      <c r="F524" s="3">
        <f>ROUND(G524/C524,0)</f>
        <v>12</v>
      </c>
      <c r="G524" s="42">
        <f>ROUND(D524*E524,0)</f>
        <v>3962</v>
      </c>
    </row>
    <row r="525" spans="1:7" s="401" customFormat="1" ht="18" customHeight="1" thickBot="1" x14ac:dyDescent="0.3">
      <c r="A525" s="6">
        <v>1</v>
      </c>
      <c r="B525" s="729" t="s">
        <v>5</v>
      </c>
      <c r="C525" s="341"/>
      <c r="D525" s="479">
        <f>D524</f>
        <v>566</v>
      </c>
      <c r="E525" s="511">
        <f>E524</f>
        <v>7</v>
      </c>
      <c r="F525" s="431">
        <f>F524</f>
        <v>12</v>
      </c>
      <c r="G525" s="432">
        <f>G524</f>
        <v>3962</v>
      </c>
    </row>
    <row r="526" spans="1:7" s="401" customFormat="1" ht="16.5" customHeight="1" thickBot="1" x14ac:dyDescent="0.3">
      <c r="A526" s="6">
        <v>1</v>
      </c>
      <c r="B526" s="457" t="s">
        <v>10</v>
      </c>
      <c r="C526" s="388"/>
      <c r="D526" s="404"/>
      <c r="E526" s="406"/>
      <c r="F526" s="406"/>
      <c r="G526" s="406"/>
    </row>
    <row r="527" spans="1:7" s="401" customFormat="1" ht="24.75" hidden="1" customHeight="1" x14ac:dyDescent="0.25">
      <c r="A527" s="6">
        <v>1</v>
      </c>
      <c r="B527" s="664" t="s">
        <v>142</v>
      </c>
      <c r="C527" s="427"/>
      <c r="D527" s="512"/>
      <c r="E527" s="513"/>
      <c r="F527" s="513"/>
      <c r="G527" s="513"/>
    </row>
    <row r="528" spans="1:7" s="401" customFormat="1" ht="31.5" hidden="1" customHeight="1" x14ac:dyDescent="0.25">
      <c r="A528" s="6">
        <v>1</v>
      </c>
      <c r="B528" s="32" t="s">
        <v>165</v>
      </c>
      <c r="C528" s="16"/>
      <c r="D528" s="665">
        <v>4262</v>
      </c>
      <c r="E528" s="16"/>
      <c r="F528" s="432"/>
      <c r="G528" s="432"/>
    </row>
    <row r="529" spans="1:7" s="401" customFormat="1" ht="31.5" hidden="1" customHeight="1" x14ac:dyDescent="0.25">
      <c r="A529" s="6">
        <v>1</v>
      </c>
      <c r="B529" s="32" t="s">
        <v>166</v>
      </c>
      <c r="C529" s="16"/>
      <c r="D529" s="665">
        <v>16034</v>
      </c>
      <c r="E529" s="16"/>
      <c r="F529" s="432"/>
      <c r="G529" s="432"/>
    </row>
    <row r="530" spans="1:7" s="401" customFormat="1" ht="19.5" hidden="1" customHeight="1" thickBot="1" x14ac:dyDescent="0.3">
      <c r="A530" s="6">
        <v>1</v>
      </c>
      <c r="B530" s="32" t="s">
        <v>191</v>
      </c>
      <c r="C530" s="16"/>
      <c r="D530" s="665">
        <v>175</v>
      </c>
      <c r="E530" s="16"/>
      <c r="F530" s="432"/>
      <c r="G530" s="432"/>
    </row>
    <row r="531" spans="1:7" s="401" customFormat="1" ht="17.25" hidden="1" customHeight="1" thickBot="1" x14ac:dyDescent="0.3">
      <c r="A531" s="6">
        <v>1</v>
      </c>
      <c r="B531" s="457" t="s">
        <v>10</v>
      </c>
      <c r="C531" s="507"/>
      <c r="D531" s="508"/>
      <c r="E531" s="509"/>
      <c r="F531" s="509"/>
      <c r="G531" s="509"/>
    </row>
    <row r="532" spans="1:7" ht="24.75" hidden="1" customHeight="1" x14ac:dyDescent="0.25">
      <c r="A532" s="6">
        <v>1</v>
      </c>
      <c r="B532" s="666" t="s">
        <v>173</v>
      </c>
      <c r="C532" s="344"/>
      <c r="D532" s="667"/>
      <c r="E532" s="514"/>
      <c r="F532" s="514"/>
      <c r="G532" s="514"/>
    </row>
    <row r="533" spans="1:7" ht="21" hidden="1" customHeight="1" x14ac:dyDescent="0.25">
      <c r="A533" s="6">
        <v>1</v>
      </c>
      <c r="B533" s="356" t="s">
        <v>4</v>
      </c>
      <c r="C533" s="5"/>
      <c r="D533" s="510"/>
      <c r="E533" s="61"/>
      <c r="F533" s="61"/>
      <c r="G533" s="61"/>
    </row>
    <row r="534" spans="1:7" ht="18.75" hidden="1" customHeight="1" x14ac:dyDescent="0.25">
      <c r="A534" s="6">
        <v>1</v>
      </c>
      <c r="B534" s="515" t="s">
        <v>75</v>
      </c>
      <c r="C534" s="5">
        <v>340</v>
      </c>
      <c r="D534" s="510">
        <f>1600-40</f>
        <v>1560</v>
      </c>
      <c r="E534" s="14">
        <v>14.5</v>
      </c>
      <c r="F534" s="3">
        <f>ROUND(G534/C534,0)</f>
        <v>67</v>
      </c>
      <c r="G534" s="42">
        <f>ROUND(D534*E534,0)</f>
        <v>22620</v>
      </c>
    </row>
    <row r="535" spans="1:7" ht="18.75" hidden="1" customHeight="1" x14ac:dyDescent="0.25">
      <c r="A535" s="6">
        <v>1</v>
      </c>
      <c r="B535" s="515"/>
      <c r="C535" s="5"/>
      <c r="D535" s="510"/>
      <c r="E535" s="14"/>
      <c r="F535" s="3"/>
      <c r="G535" s="13"/>
    </row>
    <row r="536" spans="1:7" ht="20.25" hidden="1" customHeight="1" x14ac:dyDescent="0.25">
      <c r="A536" s="6">
        <v>1</v>
      </c>
      <c r="B536" s="15" t="s">
        <v>5</v>
      </c>
      <c r="C536" s="5"/>
      <c r="D536" s="516">
        <f t="shared" ref="D536" si="47">D534</f>
        <v>1560</v>
      </c>
      <c r="E536" s="17">
        <f>G536/D536</f>
        <v>14.5</v>
      </c>
      <c r="F536" s="341">
        <f t="shared" ref="F536" si="48">F534</f>
        <v>67</v>
      </c>
      <c r="G536" s="341">
        <f>G534+G535</f>
        <v>22620</v>
      </c>
    </row>
    <row r="537" spans="1:7" ht="15.75" hidden="1" customHeight="1" x14ac:dyDescent="0.25">
      <c r="A537" s="6">
        <v>1</v>
      </c>
      <c r="B537" s="206" t="s">
        <v>185</v>
      </c>
      <c r="C537" s="5"/>
      <c r="D537" s="516"/>
      <c r="E537" s="517"/>
      <c r="F537" s="341"/>
      <c r="G537" s="341"/>
    </row>
    <row r="538" spans="1:7" ht="33" hidden="1" customHeight="1" x14ac:dyDescent="0.25">
      <c r="A538" s="6">
        <v>1</v>
      </c>
      <c r="B538" s="23" t="s">
        <v>321</v>
      </c>
      <c r="C538" s="5"/>
      <c r="D538" s="445">
        <f>D539</f>
        <v>4000</v>
      </c>
      <c r="E538" s="517"/>
      <c r="F538" s="341"/>
      <c r="G538" s="341"/>
    </row>
    <row r="539" spans="1:7" ht="17.25" hidden="1" customHeight="1" x14ac:dyDescent="0.25">
      <c r="A539" s="6">
        <v>1</v>
      </c>
      <c r="B539" s="23" t="s">
        <v>223</v>
      </c>
      <c r="C539" s="5"/>
      <c r="D539" s="445">
        <v>4000</v>
      </c>
      <c r="E539" s="517"/>
      <c r="F539" s="341"/>
      <c r="G539" s="341"/>
    </row>
    <row r="540" spans="1:7" ht="18.75" hidden="1" customHeight="1" x14ac:dyDescent="0.25">
      <c r="A540" s="6">
        <v>1</v>
      </c>
      <c r="B540" s="24" t="s">
        <v>118</v>
      </c>
      <c r="C540" s="5"/>
      <c r="D540" s="445">
        <v>27500</v>
      </c>
      <c r="E540" s="517"/>
      <c r="F540" s="341"/>
      <c r="G540" s="341"/>
    </row>
    <row r="541" spans="1:7" ht="30" hidden="1" x14ac:dyDescent="0.25">
      <c r="A541" s="6">
        <v>1</v>
      </c>
      <c r="B541" s="24" t="s">
        <v>119</v>
      </c>
      <c r="C541" s="5"/>
      <c r="D541" s="516"/>
      <c r="E541" s="517"/>
      <c r="F541" s="341"/>
      <c r="G541" s="341"/>
    </row>
    <row r="542" spans="1:7" ht="17.25" hidden="1" customHeight="1" x14ac:dyDescent="0.25">
      <c r="A542" s="6">
        <v>1</v>
      </c>
      <c r="B542" s="212" t="s">
        <v>151</v>
      </c>
      <c r="C542" s="5"/>
      <c r="D542" s="516">
        <f>D538+ROUND(D540*4.2,0)+D541</f>
        <v>119500</v>
      </c>
      <c r="E542" s="517"/>
      <c r="F542" s="341"/>
      <c r="G542" s="341"/>
    </row>
    <row r="543" spans="1:7" ht="20.25" hidden="1" customHeight="1" x14ac:dyDescent="0.25">
      <c r="A543" s="6">
        <v>1</v>
      </c>
      <c r="B543" s="34" t="s">
        <v>7</v>
      </c>
      <c r="C543" s="5"/>
      <c r="D543" s="510"/>
      <c r="E543" s="5"/>
      <c r="F543" s="5"/>
      <c r="G543" s="61"/>
    </row>
    <row r="544" spans="1:7" ht="20.25" hidden="1" customHeight="1" x14ac:dyDescent="0.25">
      <c r="A544" s="6">
        <v>1</v>
      </c>
      <c r="B544" s="43" t="s">
        <v>139</v>
      </c>
      <c r="C544" s="5"/>
      <c r="D544" s="510"/>
      <c r="E544" s="5"/>
      <c r="F544" s="5"/>
      <c r="G544" s="61"/>
    </row>
    <row r="545" spans="1:7" ht="18" hidden="1" customHeight="1" x14ac:dyDescent="0.25">
      <c r="A545" s="6">
        <v>1</v>
      </c>
      <c r="B545" s="515" t="s">
        <v>75</v>
      </c>
      <c r="C545" s="5">
        <v>300</v>
      </c>
      <c r="D545" s="510">
        <v>600</v>
      </c>
      <c r="E545" s="14">
        <v>14</v>
      </c>
      <c r="F545" s="3">
        <f>ROUND(G545/C545,0)</f>
        <v>28</v>
      </c>
      <c r="G545" s="42">
        <f>ROUND(D545*E545,0)</f>
        <v>8400</v>
      </c>
    </row>
    <row r="546" spans="1:7" ht="16.5" hidden="1" customHeight="1" x14ac:dyDescent="0.25">
      <c r="A546" s="6">
        <v>1</v>
      </c>
      <c r="B546" s="518" t="s">
        <v>9</v>
      </c>
      <c r="C546" s="5"/>
      <c r="D546" s="479">
        <f t="shared" ref="D546" si="49">D545</f>
        <v>600</v>
      </c>
      <c r="E546" s="511">
        <f t="shared" ref="E546:G546" si="50">E545</f>
        <v>14</v>
      </c>
      <c r="F546" s="480">
        <f t="shared" si="50"/>
        <v>28</v>
      </c>
      <c r="G546" s="480">
        <f t="shared" si="50"/>
        <v>8400</v>
      </c>
    </row>
    <row r="547" spans="1:7" ht="19.5" hidden="1" customHeight="1" x14ac:dyDescent="0.25">
      <c r="A547" s="6">
        <v>1</v>
      </c>
      <c r="B547" s="43" t="s">
        <v>20</v>
      </c>
      <c r="C547" s="5"/>
      <c r="D547" s="479"/>
      <c r="E547" s="511"/>
      <c r="F547" s="480"/>
      <c r="G547" s="480"/>
    </row>
    <row r="548" spans="1:7" ht="18" hidden="1" customHeight="1" x14ac:dyDescent="0.25">
      <c r="A548" s="6">
        <v>1</v>
      </c>
      <c r="B548" s="30" t="s">
        <v>75</v>
      </c>
      <c r="C548" s="231">
        <v>240</v>
      </c>
      <c r="D548" s="358">
        <v>636</v>
      </c>
      <c r="E548" s="227">
        <v>8</v>
      </c>
      <c r="F548" s="3">
        <f>ROUND(G548/C548,0)</f>
        <v>21</v>
      </c>
      <c r="G548" s="42">
        <f>ROUND(D548*E548,0)</f>
        <v>5088</v>
      </c>
    </row>
    <row r="549" spans="1:7" ht="16.5" hidden="1" customHeight="1" x14ac:dyDescent="0.25">
      <c r="A549" s="6">
        <v>1</v>
      </c>
      <c r="B549" s="30" t="s">
        <v>201</v>
      </c>
      <c r="C549" s="231">
        <v>240</v>
      </c>
      <c r="D549" s="479"/>
      <c r="E549" s="478"/>
      <c r="F549" s="480"/>
      <c r="G549" s="42">
        <f>ROUND(D549*E549,0)</f>
        <v>0</v>
      </c>
    </row>
    <row r="550" spans="1:7" ht="17.25" hidden="1" customHeight="1" x14ac:dyDescent="0.25">
      <c r="A550" s="6">
        <v>1</v>
      </c>
      <c r="B550" s="219" t="s">
        <v>141</v>
      </c>
      <c r="C550" s="5"/>
      <c r="D550" s="479">
        <f>D548+D549</f>
        <v>636</v>
      </c>
      <c r="E550" s="517">
        <f>G550/D550</f>
        <v>8</v>
      </c>
      <c r="F550" s="480">
        <f t="shared" ref="F550:G550" si="51">F548+F549</f>
        <v>21</v>
      </c>
      <c r="G550" s="480">
        <f t="shared" si="51"/>
        <v>5088</v>
      </c>
    </row>
    <row r="551" spans="1:7" ht="19.5" hidden="1" customHeight="1" thickBot="1" x14ac:dyDescent="0.3">
      <c r="A551" s="6">
        <v>1</v>
      </c>
      <c r="B551" s="31" t="s">
        <v>116</v>
      </c>
      <c r="C551" s="5"/>
      <c r="D551" s="479">
        <f>D546+D550</f>
        <v>1236</v>
      </c>
      <c r="E551" s="517">
        <f>G551/D551</f>
        <v>10.912621359223301</v>
      </c>
      <c r="F551" s="480">
        <f>F546+F550</f>
        <v>49</v>
      </c>
      <c r="G551" s="480">
        <f>G546+G550</f>
        <v>13488</v>
      </c>
    </row>
    <row r="552" spans="1:7" ht="15" hidden="1" customHeight="1" thickBot="1" x14ac:dyDescent="0.3">
      <c r="A552" s="6">
        <v>1</v>
      </c>
      <c r="B552" s="457" t="s">
        <v>10</v>
      </c>
      <c r="C552" s="388"/>
      <c r="D552" s="415"/>
      <c r="E552" s="390"/>
      <c r="F552" s="390"/>
      <c r="G552" s="390"/>
    </row>
    <row r="553" spans="1:7" ht="21.75" hidden="1" customHeight="1" x14ac:dyDescent="0.25">
      <c r="A553" s="6">
        <v>1</v>
      </c>
      <c r="B553" s="348" t="s">
        <v>174</v>
      </c>
      <c r="C553" s="5"/>
      <c r="D553" s="510"/>
      <c r="E553" s="61"/>
      <c r="F553" s="61"/>
      <c r="G553" s="61"/>
    </row>
    <row r="554" spans="1:7" ht="21.75" hidden="1" customHeight="1" x14ac:dyDescent="0.25">
      <c r="A554" s="6">
        <v>1</v>
      </c>
      <c r="B554" s="206" t="s">
        <v>6</v>
      </c>
      <c r="C554" s="5"/>
      <c r="D554" s="510"/>
      <c r="E554" s="61"/>
      <c r="F554" s="61"/>
      <c r="G554" s="61"/>
    </row>
    <row r="555" spans="1:7" ht="31.5" hidden="1" customHeight="1" x14ac:dyDescent="0.25">
      <c r="A555" s="6">
        <v>1</v>
      </c>
      <c r="B555" s="23" t="s">
        <v>321</v>
      </c>
      <c r="C555" s="5"/>
      <c r="D555" s="510"/>
      <c r="E555" s="61"/>
      <c r="F555" s="61"/>
      <c r="G555" s="61"/>
    </row>
    <row r="556" spans="1:7" ht="15" hidden="1" customHeight="1" x14ac:dyDescent="0.25">
      <c r="A556" s="6">
        <v>1</v>
      </c>
      <c r="B556" s="24" t="s">
        <v>118</v>
      </c>
      <c r="C556" s="5"/>
      <c r="D556" s="510"/>
      <c r="E556" s="61"/>
      <c r="F556" s="61"/>
      <c r="G556" s="61"/>
    </row>
    <row r="557" spans="1:7" ht="15" hidden="1" customHeight="1" x14ac:dyDescent="0.25">
      <c r="A557" s="6">
        <v>1</v>
      </c>
      <c r="B557" s="24" t="s">
        <v>119</v>
      </c>
      <c r="C557" s="5"/>
      <c r="D557" s="510"/>
      <c r="E557" s="61"/>
      <c r="F557" s="61"/>
      <c r="G557" s="61"/>
    </row>
    <row r="558" spans="1:7" ht="15" hidden="1" customHeight="1" x14ac:dyDescent="0.25">
      <c r="A558" s="6">
        <v>1</v>
      </c>
      <c r="B558" s="212" t="s">
        <v>151</v>
      </c>
      <c r="C558" s="5"/>
      <c r="D558" s="510"/>
      <c r="E558" s="61"/>
      <c r="F558" s="61"/>
      <c r="G558" s="61"/>
    </row>
    <row r="559" spans="1:7" ht="15" hidden="1" customHeight="1" x14ac:dyDescent="0.25">
      <c r="A559" s="6">
        <v>1</v>
      </c>
      <c r="B559" s="449" t="s">
        <v>120</v>
      </c>
      <c r="C559" s="5"/>
      <c r="D559" s="519">
        <f>SUM(D560:D562)</f>
        <v>28200</v>
      </c>
      <c r="E559" s="61"/>
      <c r="F559" s="61"/>
      <c r="G559" s="61"/>
    </row>
    <row r="560" spans="1:7" s="523" customFormat="1" hidden="1" x14ac:dyDescent="0.25">
      <c r="A560" s="6">
        <v>1</v>
      </c>
      <c r="B560" s="30" t="s">
        <v>55</v>
      </c>
      <c r="C560" s="520"/>
      <c r="D560" s="521">
        <v>12500</v>
      </c>
      <c r="E560" s="522"/>
      <c r="F560" s="522"/>
      <c r="G560" s="522"/>
    </row>
    <row r="561" spans="1:7" s="523" customFormat="1" ht="30" hidden="1" customHeight="1" x14ac:dyDescent="0.25">
      <c r="A561" s="6">
        <v>1</v>
      </c>
      <c r="B561" s="524" t="s">
        <v>236</v>
      </c>
      <c r="C561" s="520"/>
      <c r="D561" s="521">
        <v>14400</v>
      </c>
      <c r="E561" s="522"/>
      <c r="F561" s="522"/>
      <c r="G561" s="522"/>
    </row>
    <row r="562" spans="1:7" s="523" customFormat="1" hidden="1" x14ac:dyDescent="0.25">
      <c r="A562" s="6">
        <v>1</v>
      </c>
      <c r="B562" s="30" t="s">
        <v>273</v>
      </c>
      <c r="C562" s="520"/>
      <c r="D562" s="521">
        <v>1300</v>
      </c>
      <c r="E562" s="522"/>
      <c r="F562" s="522"/>
      <c r="G562" s="522"/>
    </row>
    <row r="563" spans="1:7" s="523" customFormat="1" hidden="1" x14ac:dyDescent="0.25">
      <c r="A563" s="6"/>
      <c r="B563" s="34" t="s">
        <v>7</v>
      </c>
      <c r="C563" s="525"/>
      <c r="D563" s="526"/>
      <c r="E563" s="527"/>
      <c r="F563" s="527"/>
      <c r="G563" s="522"/>
    </row>
    <row r="564" spans="1:7" s="523" customFormat="1" hidden="1" x14ac:dyDescent="0.25">
      <c r="A564" s="6"/>
      <c r="B564" s="43" t="s">
        <v>20</v>
      </c>
      <c r="C564" s="520"/>
      <c r="D564" s="521"/>
      <c r="E564" s="528"/>
      <c r="F564" s="522"/>
      <c r="G564" s="527"/>
    </row>
    <row r="565" spans="1:7" s="523" customFormat="1" hidden="1" x14ac:dyDescent="0.25">
      <c r="A565" s="6"/>
      <c r="B565" s="306" t="s">
        <v>312</v>
      </c>
      <c r="C565" s="231">
        <v>240</v>
      </c>
      <c r="D565" s="358">
        <v>140</v>
      </c>
      <c r="E565" s="227">
        <v>15.1</v>
      </c>
      <c r="F565" s="3">
        <f>ROUND(G565/C565,0)</f>
        <v>9</v>
      </c>
      <c r="G565" s="42">
        <f>ROUND(D565*E565,0)</f>
        <v>2114</v>
      </c>
    </row>
    <row r="566" spans="1:7" s="523" customFormat="1" hidden="1" x14ac:dyDescent="0.25">
      <c r="A566" s="6"/>
      <c r="B566" s="219" t="s">
        <v>141</v>
      </c>
      <c r="C566" s="5"/>
      <c r="D566" s="479">
        <f>D565</f>
        <v>140</v>
      </c>
      <c r="E566" s="517">
        <f>G566/D566</f>
        <v>15.1</v>
      </c>
      <c r="F566" s="480">
        <f t="shared" ref="F566:G566" si="52">F565</f>
        <v>9</v>
      </c>
      <c r="G566" s="480">
        <f t="shared" si="52"/>
        <v>2114</v>
      </c>
    </row>
    <row r="567" spans="1:7" s="523" customFormat="1" ht="15.75" hidden="1" thickBot="1" x14ac:dyDescent="0.3">
      <c r="A567" s="6"/>
      <c r="B567" s="529"/>
      <c r="C567" s="525"/>
      <c r="D567" s="530"/>
      <c r="E567" s="527"/>
      <c r="F567" s="527"/>
      <c r="G567" s="531"/>
    </row>
    <row r="568" spans="1:7" ht="16.5" hidden="1" customHeight="1" thickBot="1" x14ac:dyDescent="0.3">
      <c r="A568" s="6">
        <v>1</v>
      </c>
      <c r="B568" s="457"/>
      <c r="C568" s="388"/>
      <c r="D568" s="532"/>
      <c r="E568" s="390"/>
      <c r="F568" s="390"/>
      <c r="G568" s="390"/>
    </row>
  </sheetData>
  <sheetProtection selectLockedCells="1" selectUnlockedCells="1"/>
  <autoFilter ref="B8:N568"/>
  <mergeCells count="8">
    <mergeCell ref="F1:G1"/>
    <mergeCell ref="E2:G2"/>
    <mergeCell ref="B3:G4"/>
    <mergeCell ref="D5:D7"/>
    <mergeCell ref="F5:F7"/>
    <mergeCell ref="G5:G7"/>
    <mergeCell ref="C5:C7"/>
    <mergeCell ref="E5:E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12"/>
  <sheetViews>
    <sheetView tabSelected="1" zoomScale="80" zoomScaleNormal="80" workbookViewId="0">
      <pane xSplit="1" ySplit="7" topLeftCell="B70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52.140625" style="95" customWidth="1"/>
    <col min="2" max="2" width="10.7109375" style="95" customWidth="1"/>
    <col min="3" max="3" width="14.85546875" style="95" customWidth="1"/>
    <col min="4" max="4" width="11.85546875" style="95" customWidth="1"/>
    <col min="5" max="5" width="13.7109375" style="95" customWidth="1"/>
    <col min="6" max="6" width="11.85546875" style="95" customWidth="1"/>
    <col min="7" max="16384" width="11.42578125" style="95"/>
  </cols>
  <sheetData>
    <row r="1" spans="1:6" s="66" customFormat="1" ht="16.5" customHeight="1" x14ac:dyDescent="0.25">
      <c r="E1" s="129"/>
    </row>
    <row r="2" spans="1:6" s="66" customFormat="1" ht="33" customHeight="1" x14ac:dyDescent="0.25">
      <c r="A2" s="682" t="s">
        <v>293</v>
      </c>
      <c r="B2" s="712"/>
      <c r="C2" s="712"/>
      <c r="D2" s="712"/>
      <c r="E2" s="712"/>
      <c r="F2" s="712"/>
    </row>
    <row r="3" spans="1:6" ht="15.75" thickBot="1" x14ac:dyDescent="0.3">
      <c r="A3" s="713"/>
      <c r="B3" s="713"/>
      <c r="C3" s="713"/>
      <c r="D3" s="713"/>
      <c r="E3" s="713"/>
      <c r="F3" s="713"/>
    </row>
    <row r="4" spans="1:6" ht="33.75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6" ht="30.75" customHeight="1" x14ac:dyDescent="0.3">
      <c r="A5" s="9"/>
      <c r="B5" s="688"/>
      <c r="C5" s="710"/>
      <c r="D5" s="694"/>
      <c r="E5" s="688"/>
      <c r="F5" s="691"/>
    </row>
    <row r="6" spans="1:6" ht="34.5" customHeight="1" thickBot="1" x14ac:dyDescent="0.3">
      <c r="A6" s="10" t="s">
        <v>3</v>
      </c>
      <c r="B6" s="689"/>
      <c r="C6" s="711"/>
      <c r="D6" s="695"/>
      <c r="E6" s="689"/>
      <c r="F6" s="692"/>
    </row>
    <row r="7" spans="1:6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6" s="64" customFormat="1" ht="20.25" customHeight="1" x14ac:dyDescent="0.25">
      <c r="A8" s="716" t="s">
        <v>148</v>
      </c>
      <c r="B8" s="104"/>
      <c r="C8" s="45"/>
      <c r="D8" s="100"/>
      <c r="E8" s="100"/>
      <c r="F8" s="45"/>
    </row>
    <row r="9" spans="1:6" s="64" customFormat="1" x14ac:dyDescent="0.25">
      <c r="A9" s="69" t="s">
        <v>4</v>
      </c>
      <c r="B9" s="100"/>
      <c r="C9" s="45"/>
      <c r="D9" s="100"/>
      <c r="E9" s="100"/>
      <c r="F9" s="45"/>
    </row>
    <row r="10" spans="1:6" s="64" customFormat="1" x14ac:dyDescent="0.25">
      <c r="A10" s="59" t="s">
        <v>21</v>
      </c>
      <c r="B10" s="2">
        <v>340</v>
      </c>
      <c r="C10" s="45">
        <v>1319</v>
      </c>
      <c r="D10" s="105">
        <v>10.6</v>
      </c>
      <c r="E10" s="100">
        <f t="shared" ref="E10" si="0">ROUND(F10/B10,0)</f>
        <v>41</v>
      </c>
      <c r="F10" s="3">
        <f t="shared" ref="F10" si="1">ROUND(C10*D10,0)</f>
        <v>13981</v>
      </c>
    </row>
    <row r="11" spans="1:6" s="64" customFormat="1" x14ac:dyDescent="0.25">
      <c r="A11" s="59" t="s">
        <v>22</v>
      </c>
      <c r="B11" s="2">
        <v>340</v>
      </c>
      <c r="C11" s="45">
        <v>31</v>
      </c>
      <c r="D11" s="105">
        <v>10.5</v>
      </c>
      <c r="E11" s="100">
        <f t="shared" ref="E11:E18" si="2">ROUND(F11/B11,0)</f>
        <v>1</v>
      </c>
      <c r="F11" s="3">
        <f t="shared" ref="F11:F18" si="3">ROUND(C11*D11,0)</f>
        <v>326</v>
      </c>
    </row>
    <row r="12" spans="1:6" s="64" customFormat="1" x14ac:dyDescent="0.25">
      <c r="A12" s="59" t="s">
        <v>11</v>
      </c>
      <c r="B12" s="2">
        <v>340</v>
      </c>
      <c r="C12" s="45">
        <v>619</v>
      </c>
      <c r="D12" s="105">
        <v>9</v>
      </c>
      <c r="E12" s="100">
        <f t="shared" si="2"/>
        <v>16</v>
      </c>
      <c r="F12" s="3">
        <f t="shared" si="3"/>
        <v>5571</v>
      </c>
    </row>
    <row r="13" spans="1:6" s="64" customFormat="1" x14ac:dyDescent="0.25">
      <c r="A13" s="59" t="s">
        <v>27</v>
      </c>
      <c r="B13" s="2">
        <v>270</v>
      </c>
      <c r="C13" s="45">
        <v>420</v>
      </c>
      <c r="D13" s="105">
        <v>8.1999999999999993</v>
      </c>
      <c r="E13" s="100">
        <f t="shared" si="2"/>
        <v>13</v>
      </c>
      <c r="F13" s="3">
        <f t="shared" si="3"/>
        <v>3444</v>
      </c>
    </row>
    <row r="14" spans="1:6" s="64" customFormat="1" x14ac:dyDescent="0.25">
      <c r="A14" s="59" t="s">
        <v>28</v>
      </c>
      <c r="B14" s="2">
        <v>300</v>
      </c>
      <c r="C14" s="45">
        <v>130</v>
      </c>
      <c r="D14" s="105">
        <v>5.2</v>
      </c>
      <c r="E14" s="100">
        <f t="shared" si="2"/>
        <v>2</v>
      </c>
      <c r="F14" s="3">
        <f t="shared" si="3"/>
        <v>676</v>
      </c>
    </row>
    <row r="15" spans="1:6" s="64" customFormat="1" x14ac:dyDescent="0.25">
      <c r="A15" s="59" t="s">
        <v>24</v>
      </c>
      <c r="B15" s="2">
        <v>340</v>
      </c>
      <c r="C15" s="45">
        <v>130</v>
      </c>
      <c r="D15" s="105">
        <v>8</v>
      </c>
      <c r="E15" s="100">
        <f t="shared" si="2"/>
        <v>3</v>
      </c>
      <c r="F15" s="3">
        <f t="shared" si="3"/>
        <v>1040</v>
      </c>
    </row>
    <row r="16" spans="1:6" s="64" customFormat="1" x14ac:dyDescent="0.25">
      <c r="A16" s="59" t="s">
        <v>23</v>
      </c>
      <c r="B16" s="2">
        <v>340</v>
      </c>
      <c r="C16" s="45">
        <v>610</v>
      </c>
      <c r="D16" s="105">
        <v>6.1</v>
      </c>
      <c r="E16" s="100">
        <f t="shared" si="2"/>
        <v>11</v>
      </c>
      <c r="F16" s="3">
        <f t="shared" si="3"/>
        <v>3721</v>
      </c>
    </row>
    <row r="17" spans="1:7" s="64" customFormat="1" x14ac:dyDescent="0.25">
      <c r="A17" s="59" t="s">
        <v>26</v>
      </c>
      <c r="B17" s="2">
        <v>320</v>
      </c>
      <c r="C17" s="45">
        <v>700</v>
      </c>
      <c r="D17" s="105">
        <v>9</v>
      </c>
      <c r="E17" s="100">
        <f t="shared" si="2"/>
        <v>20</v>
      </c>
      <c r="F17" s="3">
        <f t="shared" si="3"/>
        <v>6300</v>
      </c>
    </row>
    <row r="18" spans="1:7" s="64" customFormat="1" x14ac:dyDescent="0.25">
      <c r="A18" s="36" t="s">
        <v>183</v>
      </c>
      <c r="B18" s="2">
        <v>330</v>
      </c>
      <c r="C18" s="45">
        <v>80</v>
      </c>
      <c r="D18" s="105">
        <v>9</v>
      </c>
      <c r="E18" s="100">
        <f t="shared" si="2"/>
        <v>2</v>
      </c>
      <c r="F18" s="3">
        <f t="shared" si="3"/>
        <v>720</v>
      </c>
    </row>
    <row r="19" spans="1:7" s="64" customFormat="1" ht="20.25" customHeight="1" x14ac:dyDescent="0.25">
      <c r="A19" s="106" t="s">
        <v>5</v>
      </c>
      <c r="B19" s="63"/>
      <c r="C19" s="47">
        <f>SUM(C10:C18)</f>
        <v>4039</v>
      </c>
      <c r="D19" s="107">
        <f>F19/C19</f>
        <v>8.8583807873235951</v>
      </c>
      <c r="E19" s="47">
        <f>SUM(E10:E18)</f>
        <v>109</v>
      </c>
      <c r="F19" s="47">
        <f>SUM(F10:F18)</f>
        <v>35779</v>
      </c>
    </row>
    <row r="20" spans="1:7" s="20" customFormat="1" hidden="1" x14ac:dyDescent="0.25">
      <c r="A20" s="4" t="s">
        <v>199</v>
      </c>
      <c r="B20" s="5">
        <v>350</v>
      </c>
      <c r="C20" s="13"/>
      <c r="D20" s="14"/>
      <c r="E20" s="3"/>
      <c r="F20" s="13"/>
    </row>
    <row r="21" spans="1:7" s="20" customFormat="1" ht="14.25" hidden="1" x14ac:dyDescent="0.2">
      <c r="A21" s="15" t="s">
        <v>200</v>
      </c>
      <c r="B21" s="16"/>
      <c r="C21" s="19">
        <f t="shared" ref="C21" si="4">C19+C20</f>
        <v>4039</v>
      </c>
      <c r="D21" s="17" t="e">
        <f>#REF!/#REF!</f>
        <v>#REF!</v>
      </c>
      <c r="E21" s="19">
        <f t="shared" ref="E21:F21" si="5">E19+E20</f>
        <v>109</v>
      </c>
      <c r="F21" s="19">
        <f t="shared" si="5"/>
        <v>35779</v>
      </c>
    </row>
    <row r="22" spans="1:7" s="46" customFormat="1" x14ac:dyDescent="0.25">
      <c r="A22" s="21" t="s">
        <v>205</v>
      </c>
      <c r="B22" s="21"/>
      <c r="C22" s="74"/>
      <c r="D22" s="195"/>
      <c r="E22" s="195"/>
      <c r="F22" s="45"/>
    </row>
    <row r="23" spans="1:7" s="46" customFormat="1" ht="30" x14ac:dyDescent="0.25">
      <c r="A23" s="23" t="s">
        <v>321</v>
      </c>
      <c r="B23" s="47"/>
      <c r="C23" s="45">
        <f>SUM(C25,C26,C27,C28)+C24/2.7</f>
        <v>39014.814814814818</v>
      </c>
      <c r="D23" s="195"/>
      <c r="E23" s="195"/>
      <c r="F23" s="45"/>
    </row>
    <row r="24" spans="1:7" s="46" customFormat="1" x14ac:dyDescent="0.25">
      <c r="A24" s="23" t="s">
        <v>286</v>
      </c>
      <c r="B24" s="28"/>
      <c r="C24" s="3">
        <v>2200</v>
      </c>
      <c r="D24" s="28"/>
      <c r="E24" s="28"/>
      <c r="F24" s="28"/>
    </row>
    <row r="25" spans="1:7" s="46" customFormat="1" x14ac:dyDescent="0.25">
      <c r="A25" s="48" t="s">
        <v>206</v>
      </c>
      <c r="B25" s="47"/>
      <c r="C25" s="45"/>
      <c r="D25" s="195"/>
      <c r="E25" s="195"/>
      <c r="F25" s="45"/>
    </row>
    <row r="26" spans="1:7" s="46" customFormat="1" ht="30" x14ac:dyDescent="0.25">
      <c r="A26" s="48" t="s">
        <v>207</v>
      </c>
      <c r="B26" s="47"/>
      <c r="C26" s="45">
        <v>16000</v>
      </c>
      <c r="D26" s="195"/>
      <c r="E26" s="195"/>
      <c r="F26" s="45"/>
    </row>
    <row r="27" spans="1:7" s="46" customFormat="1" ht="30" x14ac:dyDescent="0.25">
      <c r="A27" s="48" t="s">
        <v>208</v>
      </c>
      <c r="B27" s="47"/>
      <c r="C27" s="45">
        <v>200</v>
      </c>
      <c r="D27" s="195"/>
      <c r="E27" s="195"/>
      <c r="F27" s="45"/>
    </row>
    <row r="28" spans="1:7" s="46" customFormat="1" x14ac:dyDescent="0.25">
      <c r="A28" s="23" t="s">
        <v>209</v>
      </c>
      <c r="B28" s="47"/>
      <c r="C28" s="45">
        <v>22000</v>
      </c>
      <c r="D28" s="195"/>
      <c r="E28" s="195"/>
      <c r="F28" s="45"/>
    </row>
    <row r="29" spans="1:7" s="46" customFormat="1" ht="45" x14ac:dyDescent="0.25">
      <c r="A29" s="23" t="s">
        <v>285</v>
      </c>
      <c r="B29" s="47"/>
      <c r="C29" s="13">
        <v>300</v>
      </c>
      <c r="D29" s="45"/>
      <c r="E29" s="45"/>
      <c r="F29" s="45"/>
      <c r="G29" s="75"/>
    </row>
    <row r="30" spans="1:7" s="64" customFormat="1" x14ac:dyDescent="0.25">
      <c r="A30" s="24" t="s">
        <v>118</v>
      </c>
      <c r="B30" s="45"/>
      <c r="C30" s="13">
        <f>C31+C32</f>
        <v>32800.411764705881</v>
      </c>
      <c r="D30" s="45"/>
      <c r="E30" s="45"/>
      <c r="F30" s="45"/>
      <c r="G30" s="109"/>
    </row>
    <row r="31" spans="1:7" s="64" customFormat="1" x14ac:dyDescent="0.25">
      <c r="A31" s="24" t="s">
        <v>259</v>
      </c>
      <c r="B31" s="45"/>
      <c r="C31" s="13">
        <f>33071-2200</f>
        <v>30871</v>
      </c>
      <c r="D31" s="45"/>
      <c r="E31" s="45"/>
      <c r="F31" s="45"/>
      <c r="G31" s="109"/>
    </row>
    <row r="32" spans="1:7" s="64" customFormat="1" x14ac:dyDescent="0.25">
      <c r="A32" s="24" t="s">
        <v>261</v>
      </c>
      <c r="B32" s="45"/>
      <c r="C32" s="13">
        <f>C33/8.5</f>
        <v>1929.4117647058824</v>
      </c>
      <c r="D32" s="45"/>
      <c r="E32" s="45"/>
      <c r="F32" s="45"/>
    </row>
    <row r="33" spans="1:7" s="46" customFormat="1" x14ac:dyDescent="0.25">
      <c r="A33" s="44" t="s">
        <v>260</v>
      </c>
      <c r="B33" s="45"/>
      <c r="C33" s="13">
        <v>16400</v>
      </c>
      <c r="D33" s="195"/>
      <c r="E33" s="195"/>
      <c r="F33" s="45"/>
      <c r="G33" s="110"/>
    </row>
    <row r="34" spans="1:7" s="46" customFormat="1" x14ac:dyDescent="0.25">
      <c r="A34" s="49" t="s">
        <v>210</v>
      </c>
      <c r="B34" s="50"/>
      <c r="C34" s="47">
        <f>C23+ROUND(C31*3.2,0)+C33/3.9</f>
        <v>142006.94301994305</v>
      </c>
      <c r="D34" s="195"/>
      <c r="E34" s="195"/>
      <c r="F34" s="45"/>
    </row>
    <row r="35" spans="1:7" s="46" customFormat="1" x14ac:dyDescent="0.25">
      <c r="A35" s="21" t="s">
        <v>153</v>
      </c>
      <c r="B35" s="22"/>
      <c r="C35" s="3"/>
      <c r="D35" s="195"/>
      <c r="E35" s="195"/>
      <c r="F35" s="45"/>
    </row>
    <row r="36" spans="1:7" s="46" customFormat="1" ht="30" x14ac:dyDescent="0.25">
      <c r="A36" s="23" t="s">
        <v>321</v>
      </c>
      <c r="B36" s="22"/>
      <c r="C36" s="3">
        <f>SUM(C37,C38,C45,C51,C52,C53)</f>
        <v>40347</v>
      </c>
      <c r="D36" s="195"/>
      <c r="E36" s="195"/>
      <c r="F36" s="45"/>
    </row>
    <row r="37" spans="1:7" s="46" customFormat="1" x14ac:dyDescent="0.25">
      <c r="A37" s="23" t="s">
        <v>206</v>
      </c>
      <c r="B37" s="22"/>
      <c r="C37" s="3"/>
      <c r="D37" s="195"/>
      <c r="E37" s="195"/>
      <c r="F37" s="45"/>
    </row>
    <row r="38" spans="1:7" s="46" customFormat="1" ht="30" x14ac:dyDescent="0.25">
      <c r="A38" s="48" t="s">
        <v>211</v>
      </c>
      <c r="B38" s="22"/>
      <c r="C38" s="3">
        <f>C39+C40+C41+C43</f>
        <v>6972</v>
      </c>
      <c r="D38" s="195"/>
      <c r="E38" s="195"/>
      <c r="F38" s="45"/>
    </row>
    <row r="39" spans="1:7" s="46" customFormat="1" x14ac:dyDescent="0.25">
      <c r="A39" s="52" t="s">
        <v>212</v>
      </c>
      <c r="B39" s="22"/>
      <c r="C39" s="45">
        <f>4964-1364</f>
        <v>3600</v>
      </c>
      <c r="D39" s="195"/>
      <c r="E39" s="195"/>
      <c r="F39" s="45"/>
    </row>
    <row r="40" spans="1:7" s="46" customFormat="1" x14ac:dyDescent="0.25">
      <c r="A40" s="52" t="s">
        <v>213</v>
      </c>
      <c r="B40" s="22"/>
      <c r="C40" s="45">
        <v>1429</v>
      </c>
      <c r="D40" s="195"/>
      <c r="E40" s="195"/>
      <c r="F40" s="45"/>
    </row>
    <row r="41" spans="1:7" s="46" customFormat="1" ht="30" x14ac:dyDescent="0.25">
      <c r="A41" s="52" t="s">
        <v>214</v>
      </c>
      <c r="B41" s="22"/>
      <c r="C41" s="45">
        <v>729</v>
      </c>
      <c r="D41" s="195"/>
      <c r="E41" s="195"/>
      <c r="F41" s="45"/>
    </row>
    <row r="42" spans="1:7" s="46" customFormat="1" x14ac:dyDescent="0.25">
      <c r="A42" s="52" t="s">
        <v>215</v>
      </c>
      <c r="B42" s="22"/>
      <c r="C42" s="45">
        <v>80</v>
      </c>
      <c r="D42" s="195"/>
      <c r="E42" s="195"/>
      <c r="F42" s="45"/>
    </row>
    <row r="43" spans="1:7" s="46" customFormat="1" ht="30" x14ac:dyDescent="0.25">
      <c r="A43" s="52" t="s">
        <v>216</v>
      </c>
      <c r="B43" s="22"/>
      <c r="C43" s="45">
        <v>1214</v>
      </c>
      <c r="D43" s="195"/>
      <c r="E43" s="195"/>
      <c r="F43" s="45"/>
    </row>
    <row r="44" spans="1:7" s="46" customFormat="1" x14ac:dyDescent="0.25">
      <c r="A44" s="52" t="s">
        <v>215</v>
      </c>
      <c r="B44" s="22"/>
      <c r="C44" s="76">
        <v>150</v>
      </c>
      <c r="D44" s="195"/>
      <c r="E44" s="195"/>
      <c r="F44" s="45"/>
    </row>
    <row r="45" spans="1:7" s="46" customFormat="1" ht="30" x14ac:dyDescent="0.25">
      <c r="A45" s="48" t="s">
        <v>217</v>
      </c>
      <c r="B45" s="22"/>
      <c r="C45" s="3">
        <f>SUM(C46,C47,C49)</f>
        <v>33375</v>
      </c>
      <c r="D45" s="195"/>
      <c r="E45" s="195"/>
      <c r="F45" s="45"/>
    </row>
    <row r="46" spans="1:7" s="46" customFormat="1" ht="30" x14ac:dyDescent="0.25">
      <c r="A46" s="52" t="s">
        <v>218</v>
      </c>
      <c r="B46" s="22"/>
      <c r="C46" s="3">
        <v>5800</v>
      </c>
      <c r="D46" s="195"/>
      <c r="E46" s="195"/>
      <c r="F46" s="45"/>
    </row>
    <row r="47" spans="1:7" s="46" customFormat="1" ht="45" x14ac:dyDescent="0.25">
      <c r="A47" s="52" t="s">
        <v>219</v>
      </c>
      <c r="B47" s="22"/>
      <c r="C47" s="42">
        <v>19705</v>
      </c>
      <c r="D47" s="195"/>
      <c r="E47" s="195"/>
      <c r="F47" s="45"/>
    </row>
    <row r="48" spans="1:7" s="46" customFormat="1" x14ac:dyDescent="0.25">
      <c r="A48" s="52" t="s">
        <v>215</v>
      </c>
      <c r="B48" s="22"/>
      <c r="C48" s="42">
        <v>5500</v>
      </c>
      <c r="D48" s="195"/>
      <c r="E48" s="195"/>
      <c r="F48" s="45"/>
    </row>
    <row r="49" spans="1:6" s="46" customFormat="1" ht="45" x14ac:dyDescent="0.25">
      <c r="A49" s="52" t="s">
        <v>220</v>
      </c>
      <c r="B49" s="22"/>
      <c r="C49" s="42">
        <v>7870</v>
      </c>
      <c r="D49" s="195"/>
      <c r="E49" s="195"/>
      <c r="F49" s="45"/>
    </row>
    <row r="50" spans="1:6" s="46" customFormat="1" x14ac:dyDescent="0.25">
      <c r="A50" s="52" t="s">
        <v>215</v>
      </c>
      <c r="B50" s="22"/>
      <c r="C50" s="42">
        <v>4560</v>
      </c>
      <c r="D50" s="195"/>
      <c r="E50" s="195"/>
      <c r="F50" s="45"/>
    </row>
    <row r="51" spans="1:6" s="46" customFormat="1" ht="30" x14ac:dyDescent="0.25">
      <c r="A51" s="48" t="s">
        <v>221</v>
      </c>
      <c r="B51" s="22"/>
      <c r="C51" s="3"/>
      <c r="D51" s="195"/>
      <c r="E51" s="195"/>
      <c r="F51" s="45"/>
    </row>
    <row r="52" spans="1:6" s="46" customFormat="1" ht="30" x14ac:dyDescent="0.25">
      <c r="A52" s="48" t="s">
        <v>222</v>
      </c>
      <c r="B52" s="22"/>
      <c r="C52" s="3"/>
      <c r="D52" s="195"/>
      <c r="E52" s="195"/>
      <c r="F52" s="45"/>
    </row>
    <row r="53" spans="1:6" s="46" customFormat="1" x14ac:dyDescent="0.25">
      <c r="A53" s="23" t="s">
        <v>223</v>
      </c>
      <c r="B53" s="22"/>
      <c r="C53" s="3"/>
      <c r="D53" s="195"/>
      <c r="E53" s="195"/>
      <c r="F53" s="45"/>
    </row>
    <row r="54" spans="1:6" s="46" customFormat="1" x14ac:dyDescent="0.25">
      <c r="A54" s="24" t="s">
        <v>118</v>
      </c>
      <c r="B54" s="47"/>
      <c r="C54" s="45"/>
      <c r="D54" s="195"/>
      <c r="E54" s="195"/>
      <c r="F54" s="45"/>
    </row>
    <row r="55" spans="1:6" s="46" customFormat="1" x14ac:dyDescent="0.25">
      <c r="A55" s="44" t="s">
        <v>150</v>
      </c>
      <c r="B55" s="47"/>
      <c r="C55" s="76"/>
      <c r="D55" s="195"/>
      <c r="E55" s="195"/>
      <c r="F55" s="45"/>
    </row>
    <row r="56" spans="1:6" s="64" customFormat="1" ht="30" x14ac:dyDescent="0.25">
      <c r="A56" s="24" t="s">
        <v>119</v>
      </c>
      <c r="B56" s="45"/>
      <c r="C56" s="3">
        <f>9000-C58</f>
        <v>7500</v>
      </c>
      <c r="D56" s="45"/>
      <c r="E56" s="45"/>
      <c r="F56" s="45"/>
    </row>
    <row r="57" spans="1:6" s="46" customFormat="1" x14ac:dyDescent="0.25">
      <c r="A57" s="24" t="s">
        <v>224</v>
      </c>
      <c r="B57" s="22"/>
      <c r="C57" s="3"/>
      <c r="D57" s="195"/>
      <c r="E57" s="195"/>
      <c r="F57" s="45"/>
    </row>
    <row r="58" spans="1:6" s="46" customFormat="1" ht="45" x14ac:dyDescent="0.25">
      <c r="A58" s="24" t="s">
        <v>296</v>
      </c>
      <c r="B58" s="22"/>
      <c r="C58" s="3">
        <v>1500</v>
      </c>
      <c r="D58" s="195"/>
      <c r="E58" s="195"/>
      <c r="F58" s="45"/>
    </row>
    <row r="59" spans="1:6" s="46" customFormat="1" x14ac:dyDescent="0.25">
      <c r="A59" s="54" t="s">
        <v>152</v>
      </c>
      <c r="B59" s="22"/>
      <c r="C59" s="18">
        <f>C36+ROUND(C54*3.2,0)+C56+C58</f>
        <v>49347</v>
      </c>
      <c r="D59" s="195"/>
      <c r="E59" s="195"/>
      <c r="F59" s="45"/>
    </row>
    <row r="60" spans="1:6" s="46" customFormat="1" ht="15" customHeight="1" x14ac:dyDescent="0.25">
      <c r="A60" s="55" t="s">
        <v>151</v>
      </c>
      <c r="B60" s="22"/>
      <c r="C60" s="18">
        <f>SUM(C34,C59)</f>
        <v>191353.94301994305</v>
      </c>
      <c r="D60" s="195"/>
      <c r="E60" s="195"/>
      <c r="F60" s="45"/>
    </row>
    <row r="61" spans="1:6" s="64" customFormat="1" x14ac:dyDescent="0.25">
      <c r="A61" s="34" t="s">
        <v>7</v>
      </c>
      <c r="B61" s="140"/>
      <c r="C61" s="45"/>
      <c r="D61" s="100"/>
      <c r="E61" s="100"/>
      <c r="F61" s="45"/>
    </row>
    <row r="62" spans="1:6" s="64" customFormat="1" x14ac:dyDescent="0.25">
      <c r="A62" s="86" t="s">
        <v>139</v>
      </c>
      <c r="B62" s="140"/>
      <c r="C62" s="45"/>
      <c r="D62" s="100"/>
      <c r="E62" s="100"/>
      <c r="F62" s="45"/>
    </row>
    <row r="63" spans="1:6" s="64" customFormat="1" x14ac:dyDescent="0.25">
      <c r="A63" s="29" t="s">
        <v>72</v>
      </c>
      <c r="B63" s="2">
        <v>300</v>
      </c>
      <c r="C63" s="45">
        <v>115</v>
      </c>
      <c r="D63" s="105">
        <v>11</v>
      </c>
      <c r="E63" s="100">
        <f>ROUND(F63/B63,0)</f>
        <v>4</v>
      </c>
      <c r="F63" s="3">
        <f>ROUND(C63*D63,0)</f>
        <v>1265</v>
      </c>
    </row>
    <row r="64" spans="1:6" s="64" customFormat="1" x14ac:dyDescent="0.25">
      <c r="A64" s="29" t="s">
        <v>73</v>
      </c>
      <c r="B64" s="2">
        <v>300</v>
      </c>
      <c r="C64" s="45">
        <v>60</v>
      </c>
      <c r="D64" s="105">
        <v>9</v>
      </c>
      <c r="E64" s="100">
        <f>ROUND(F64/B64,0)</f>
        <v>2</v>
      </c>
      <c r="F64" s="3">
        <f>ROUND(C64*D64,0)</f>
        <v>540</v>
      </c>
    </row>
    <row r="65" spans="1:6" s="64" customFormat="1" x14ac:dyDescent="0.25">
      <c r="A65" s="29" t="s">
        <v>23</v>
      </c>
      <c r="B65" s="2">
        <v>300</v>
      </c>
      <c r="C65" s="45">
        <v>25</v>
      </c>
      <c r="D65" s="105">
        <v>7.5</v>
      </c>
      <c r="E65" s="100">
        <f>ROUND(F65/B65,0)</f>
        <v>1</v>
      </c>
      <c r="F65" s="3">
        <f>ROUND(C65*D65,0)</f>
        <v>188</v>
      </c>
    </row>
    <row r="66" spans="1:6" s="64" customFormat="1" x14ac:dyDescent="0.25">
      <c r="A66" s="34" t="s">
        <v>9</v>
      </c>
      <c r="B66" s="84"/>
      <c r="C66" s="93">
        <f>C63+C64+C65</f>
        <v>200</v>
      </c>
      <c r="D66" s="107">
        <f>F66/C66</f>
        <v>9.9649999999999999</v>
      </c>
      <c r="E66" s="101">
        <f>E63+E64+E65</f>
        <v>7</v>
      </c>
      <c r="F66" s="93">
        <f>F63+F64+F65</f>
        <v>1993</v>
      </c>
    </row>
    <row r="67" spans="1:6" s="64" customFormat="1" x14ac:dyDescent="0.25">
      <c r="A67" s="43" t="s">
        <v>20</v>
      </c>
      <c r="B67" s="82"/>
      <c r="C67" s="50"/>
      <c r="D67" s="653"/>
      <c r="E67" s="654"/>
      <c r="F67" s="50"/>
    </row>
    <row r="68" spans="1:6" s="64" customFormat="1" x14ac:dyDescent="0.25">
      <c r="A68" s="1" t="s">
        <v>37</v>
      </c>
      <c r="B68" s="79">
        <v>240</v>
      </c>
      <c r="C68" s="45">
        <v>610</v>
      </c>
      <c r="D68" s="105">
        <v>8</v>
      </c>
      <c r="E68" s="100">
        <f>ROUND(F68/B68,0)</f>
        <v>20</v>
      </c>
      <c r="F68" s="3">
        <f>ROUND(C68*D68,0)</f>
        <v>4880</v>
      </c>
    </row>
    <row r="69" spans="1:6" s="64" customFormat="1" x14ac:dyDescent="0.25">
      <c r="A69" s="192" t="s">
        <v>141</v>
      </c>
      <c r="B69" s="655"/>
      <c r="C69" s="112">
        <f t="shared" ref="C69" si="6">C68</f>
        <v>610</v>
      </c>
      <c r="D69" s="656">
        <f t="shared" ref="D69:F69" si="7">D68</f>
        <v>8</v>
      </c>
      <c r="E69" s="112">
        <f t="shared" si="7"/>
        <v>20</v>
      </c>
      <c r="F69" s="112">
        <f t="shared" si="7"/>
        <v>4880</v>
      </c>
    </row>
    <row r="70" spans="1:6" s="64" customFormat="1" x14ac:dyDescent="0.25">
      <c r="A70" s="31" t="s">
        <v>116</v>
      </c>
      <c r="B70" s="324"/>
      <c r="C70" s="113">
        <f>C66+C69</f>
        <v>810</v>
      </c>
      <c r="D70" s="107">
        <f>F70/C70</f>
        <v>8.4851851851851858</v>
      </c>
      <c r="E70" s="113">
        <f>E66+E69</f>
        <v>27</v>
      </c>
      <c r="F70" s="113">
        <f>F66+F69</f>
        <v>6873</v>
      </c>
    </row>
    <row r="71" spans="1:6" ht="18.75" customHeight="1" x14ac:dyDescent="0.25">
      <c r="A71" s="193" t="s">
        <v>92</v>
      </c>
      <c r="B71" s="118"/>
      <c r="C71" s="47">
        <f>C72+C74</f>
        <v>9510</v>
      </c>
      <c r="D71" s="78"/>
      <c r="E71" s="118"/>
      <c r="F71" s="118"/>
    </row>
    <row r="72" spans="1:6" x14ac:dyDescent="0.25">
      <c r="A72" s="190" t="s">
        <v>167</v>
      </c>
      <c r="B72" s="121"/>
      <c r="C72" s="122">
        <f>C73</f>
        <v>9500</v>
      </c>
      <c r="D72" s="59"/>
      <c r="E72" s="194"/>
      <c r="F72" s="121"/>
    </row>
    <row r="73" spans="1:6" x14ac:dyDescent="0.25">
      <c r="A73" s="123" t="s">
        <v>168</v>
      </c>
      <c r="B73" s="121"/>
      <c r="C73" s="121">
        <v>9500</v>
      </c>
      <c r="D73" s="121"/>
      <c r="E73" s="121"/>
      <c r="F73" s="121"/>
    </row>
    <row r="74" spans="1:6" x14ac:dyDescent="0.25">
      <c r="A74" s="122" t="s">
        <v>169</v>
      </c>
      <c r="B74" s="121"/>
      <c r="C74" s="142">
        <f>C75+C76</f>
        <v>10</v>
      </c>
      <c r="D74" s="121"/>
      <c r="E74" s="121"/>
      <c r="F74" s="121"/>
    </row>
    <row r="75" spans="1:6" ht="30" x14ac:dyDescent="0.25">
      <c r="A75" s="123" t="s">
        <v>170</v>
      </c>
      <c r="B75" s="121"/>
      <c r="C75" s="121">
        <v>10</v>
      </c>
      <c r="D75" s="121"/>
      <c r="E75" s="121"/>
      <c r="F75" s="121"/>
    </row>
    <row r="76" spans="1:6" ht="15.75" thickBot="1" x14ac:dyDescent="0.3">
      <c r="A76" s="126" t="s">
        <v>171</v>
      </c>
      <c r="B76" s="127"/>
      <c r="C76" s="127"/>
      <c r="D76" s="127"/>
      <c r="E76" s="127"/>
      <c r="F76" s="127"/>
    </row>
    <row r="77" spans="1:6" x14ac:dyDescent="0.25">
      <c r="D77" s="46"/>
      <c r="E77" s="46"/>
      <c r="F77" s="46"/>
    </row>
    <row r="78" spans="1:6" x14ac:dyDescent="0.25">
      <c r="D78" s="46"/>
      <c r="E78" s="46"/>
      <c r="F78" s="46"/>
    </row>
    <row r="79" spans="1:6" x14ac:dyDescent="0.25">
      <c r="D79" s="46"/>
      <c r="E79" s="46"/>
      <c r="F79" s="46"/>
    </row>
    <row r="80" spans="1:6" x14ac:dyDescent="0.25">
      <c r="D80" s="46"/>
      <c r="E80" s="46"/>
      <c r="F80" s="46"/>
    </row>
    <row r="81" spans="4:6" x14ac:dyDescent="0.25">
      <c r="D81" s="46"/>
      <c r="E81" s="46"/>
      <c r="F81" s="46"/>
    </row>
    <row r="82" spans="4:6" x14ac:dyDescent="0.25">
      <c r="D82" s="46"/>
      <c r="E82" s="46"/>
      <c r="F82" s="46"/>
    </row>
    <row r="83" spans="4:6" x14ac:dyDescent="0.25">
      <c r="D83" s="46"/>
      <c r="E83" s="46"/>
      <c r="F83" s="46"/>
    </row>
    <row r="84" spans="4:6" x14ac:dyDescent="0.25">
      <c r="D84" s="46"/>
      <c r="E84" s="46"/>
      <c r="F84" s="46"/>
    </row>
    <row r="85" spans="4:6" x14ac:dyDescent="0.25">
      <c r="D85" s="46"/>
      <c r="E85" s="46"/>
      <c r="F85" s="46"/>
    </row>
    <row r="86" spans="4:6" x14ac:dyDescent="0.25">
      <c r="D86" s="46"/>
      <c r="E86" s="46"/>
      <c r="F86" s="46"/>
    </row>
    <row r="87" spans="4:6" x14ac:dyDescent="0.25">
      <c r="D87" s="46"/>
      <c r="E87" s="46"/>
      <c r="F87" s="46"/>
    </row>
    <row r="88" spans="4:6" x14ac:dyDescent="0.25">
      <c r="D88" s="46"/>
      <c r="E88" s="46"/>
      <c r="F88" s="46"/>
    </row>
    <row r="89" spans="4:6" x14ac:dyDescent="0.25">
      <c r="D89" s="46"/>
      <c r="E89" s="46"/>
      <c r="F89" s="46"/>
    </row>
    <row r="90" spans="4:6" x14ac:dyDescent="0.25">
      <c r="D90" s="46"/>
      <c r="E90" s="46"/>
      <c r="F90" s="46"/>
    </row>
    <row r="91" spans="4:6" x14ac:dyDescent="0.25">
      <c r="D91" s="46"/>
      <c r="E91" s="46"/>
      <c r="F91" s="46"/>
    </row>
    <row r="92" spans="4:6" x14ac:dyDescent="0.25">
      <c r="D92" s="46"/>
      <c r="E92" s="46"/>
      <c r="F92" s="46"/>
    </row>
    <row r="93" spans="4:6" x14ac:dyDescent="0.25">
      <c r="D93" s="46"/>
      <c r="E93" s="46"/>
      <c r="F93" s="46"/>
    </row>
    <row r="94" spans="4:6" x14ac:dyDescent="0.25">
      <c r="D94" s="46"/>
      <c r="E94" s="46"/>
      <c r="F94" s="46"/>
    </row>
    <row r="95" spans="4:6" x14ac:dyDescent="0.25">
      <c r="D95" s="46"/>
      <c r="E95" s="46"/>
      <c r="F95" s="46"/>
    </row>
    <row r="96" spans="4:6" x14ac:dyDescent="0.25">
      <c r="D96" s="46"/>
      <c r="E96" s="46"/>
      <c r="F96" s="46"/>
    </row>
    <row r="97" spans="4:6" x14ac:dyDescent="0.25">
      <c r="D97" s="46"/>
      <c r="E97" s="46"/>
      <c r="F97" s="46"/>
    </row>
    <row r="98" spans="4:6" x14ac:dyDescent="0.25">
      <c r="D98" s="46"/>
      <c r="E98" s="46"/>
      <c r="F98" s="46"/>
    </row>
    <row r="99" spans="4:6" x14ac:dyDescent="0.25">
      <c r="D99" s="46"/>
      <c r="E99" s="46"/>
      <c r="F99" s="46"/>
    </row>
    <row r="100" spans="4:6" x14ac:dyDescent="0.25">
      <c r="D100" s="46"/>
      <c r="E100" s="46"/>
      <c r="F100" s="46"/>
    </row>
    <row r="101" spans="4:6" x14ac:dyDescent="0.25">
      <c r="D101" s="46"/>
      <c r="E101" s="46"/>
      <c r="F101" s="46"/>
    </row>
    <row r="102" spans="4:6" x14ac:dyDescent="0.25">
      <c r="D102" s="46"/>
      <c r="E102" s="46"/>
      <c r="F102" s="46"/>
    </row>
    <row r="103" spans="4:6" x14ac:dyDescent="0.25">
      <c r="D103" s="46"/>
      <c r="E103" s="46"/>
      <c r="F103" s="46"/>
    </row>
    <row r="104" spans="4:6" x14ac:dyDescent="0.25">
      <c r="D104" s="46"/>
      <c r="E104" s="46"/>
      <c r="F104" s="46"/>
    </row>
    <row r="105" spans="4:6" x14ac:dyDescent="0.25">
      <c r="D105" s="46"/>
      <c r="E105" s="46"/>
      <c r="F105" s="46"/>
    </row>
    <row r="106" spans="4:6" x14ac:dyDescent="0.25">
      <c r="D106" s="46"/>
      <c r="E106" s="46"/>
      <c r="F106" s="46"/>
    </row>
    <row r="107" spans="4:6" x14ac:dyDescent="0.25">
      <c r="D107" s="46"/>
      <c r="E107" s="46"/>
      <c r="F107" s="46"/>
    </row>
    <row r="108" spans="4:6" x14ac:dyDescent="0.25">
      <c r="D108" s="46"/>
      <c r="E108" s="46"/>
      <c r="F108" s="46"/>
    </row>
    <row r="109" spans="4:6" x14ac:dyDescent="0.25">
      <c r="D109" s="46"/>
      <c r="E109" s="46"/>
      <c r="F109" s="46"/>
    </row>
    <row r="110" spans="4:6" x14ac:dyDescent="0.25">
      <c r="D110" s="46"/>
      <c r="E110" s="46"/>
      <c r="F110" s="46"/>
    </row>
    <row r="111" spans="4:6" x14ac:dyDescent="0.25">
      <c r="D111" s="46"/>
      <c r="E111" s="46"/>
      <c r="F111" s="46"/>
    </row>
    <row r="112" spans="4:6" x14ac:dyDescent="0.25">
      <c r="D112" s="46"/>
      <c r="E112" s="46"/>
      <c r="F112" s="46"/>
    </row>
    <row r="113" spans="4:6" x14ac:dyDescent="0.25">
      <c r="D113" s="46"/>
      <c r="E113" s="46"/>
      <c r="F113" s="46"/>
    </row>
    <row r="114" spans="4:6" x14ac:dyDescent="0.25">
      <c r="D114" s="46"/>
      <c r="E114" s="46"/>
      <c r="F114" s="46"/>
    </row>
    <row r="115" spans="4:6" x14ac:dyDescent="0.25">
      <c r="D115" s="46"/>
      <c r="E115" s="46"/>
      <c r="F115" s="46"/>
    </row>
    <row r="116" spans="4:6" x14ac:dyDescent="0.25">
      <c r="D116" s="46"/>
      <c r="E116" s="46"/>
      <c r="F116" s="46"/>
    </row>
    <row r="117" spans="4:6" x14ac:dyDescent="0.25">
      <c r="D117" s="46"/>
      <c r="E117" s="46"/>
      <c r="F117" s="46"/>
    </row>
    <row r="118" spans="4:6" x14ac:dyDescent="0.25">
      <c r="D118" s="46"/>
      <c r="E118" s="46"/>
      <c r="F118" s="46"/>
    </row>
    <row r="119" spans="4:6" x14ac:dyDescent="0.25">
      <c r="D119" s="46"/>
      <c r="E119" s="46"/>
      <c r="F119" s="46"/>
    </row>
    <row r="120" spans="4:6" x14ac:dyDescent="0.25">
      <c r="D120" s="46"/>
      <c r="E120" s="46"/>
      <c r="F120" s="46"/>
    </row>
    <row r="121" spans="4:6" x14ac:dyDescent="0.25">
      <c r="D121" s="46"/>
      <c r="E121" s="46"/>
      <c r="F121" s="46"/>
    </row>
    <row r="122" spans="4:6" x14ac:dyDescent="0.25">
      <c r="D122" s="46"/>
      <c r="E122" s="46"/>
      <c r="F122" s="46"/>
    </row>
    <row r="123" spans="4:6" x14ac:dyDescent="0.25">
      <c r="D123" s="46"/>
      <c r="E123" s="46"/>
      <c r="F123" s="46"/>
    </row>
    <row r="124" spans="4:6" x14ac:dyDescent="0.25">
      <c r="D124" s="46"/>
      <c r="E124" s="46"/>
      <c r="F124" s="46"/>
    </row>
    <row r="125" spans="4:6" x14ac:dyDescent="0.25">
      <c r="D125" s="46"/>
      <c r="E125" s="46"/>
      <c r="F125" s="46"/>
    </row>
    <row r="126" spans="4:6" x14ac:dyDescent="0.25">
      <c r="D126" s="46"/>
      <c r="E126" s="46"/>
      <c r="F126" s="46"/>
    </row>
    <row r="127" spans="4:6" x14ac:dyDescent="0.25">
      <c r="D127" s="46"/>
      <c r="E127" s="46"/>
      <c r="F127" s="46"/>
    </row>
    <row r="128" spans="4:6" x14ac:dyDescent="0.25">
      <c r="D128" s="46"/>
      <c r="E128" s="46"/>
      <c r="F128" s="46"/>
    </row>
    <row r="129" spans="4:6" x14ac:dyDescent="0.25">
      <c r="D129" s="46"/>
      <c r="E129" s="46"/>
      <c r="F129" s="46"/>
    </row>
    <row r="130" spans="4:6" x14ac:dyDescent="0.25">
      <c r="D130" s="46"/>
      <c r="E130" s="46"/>
      <c r="F130" s="46"/>
    </row>
    <row r="131" spans="4:6" x14ac:dyDescent="0.25">
      <c r="D131" s="46"/>
      <c r="E131" s="46"/>
      <c r="F131" s="46"/>
    </row>
    <row r="132" spans="4:6" x14ac:dyDescent="0.25">
      <c r="D132" s="46"/>
      <c r="E132" s="46"/>
      <c r="F132" s="46"/>
    </row>
    <row r="133" spans="4:6" x14ac:dyDescent="0.25">
      <c r="D133" s="46"/>
      <c r="E133" s="46"/>
      <c r="F133" s="46"/>
    </row>
    <row r="134" spans="4:6" x14ac:dyDescent="0.25">
      <c r="D134" s="46"/>
      <c r="E134" s="46"/>
      <c r="F134" s="46"/>
    </row>
    <row r="135" spans="4:6" x14ac:dyDescent="0.25">
      <c r="D135" s="46"/>
      <c r="E135" s="46"/>
      <c r="F135" s="46"/>
    </row>
    <row r="136" spans="4:6" x14ac:dyDescent="0.25">
      <c r="D136" s="46"/>
      <c r="E136" s="46"/>
      <c r="F136" s="46"/>
    </row>
    <row r="137" spans="4:6" x14ac:dyDescent="0.25">
      <c r="D137" s="46"/>
      <c r="E137" s="46"/>
      <c r="F137" s="46"/>
    </row>
    <row r="138" spans="4:6" x14ac:dyDescent="0.25">
      <c r="D138" s="46"/>
      <c r="E138" s="46"/>
      <c r="F138" s="46"/>
    </row>
    <row r="139" spans="4:6" x14ac:dyDescent="0.25">
      <c r="D139" s="46"/>
      <c r="E139" s="46"/>
      <c r="F139" s="46"/>
    </row>
    <row r="140" spans="4:6" x14ac:dyDescent="0.25">
      <c r="D140" s="46"/>
      <c r="E140" s="46"/>
      <c r="F140" s="46"/>
    </row>
    <row r="141" spans="4:6" x14ac:dyDescent="0.25">
      <c r="D141" s="46"/>
      <c r="E141" s="46"/>
      <c r="F141" s="46"/>
    </row>
    <row r="142" spans="4:6" x14ac:dyDescent="0.25">
      <c r="D142" s="46"/>
      <c r="E142" s="46"/>
      <c r="F142" s="46"/>
    </row>
    <row r="143" spans="4:6" x14ac:dyDescent="0.25">
      <c r="D143" s="46"/>
      <c r="E143" s="46"/>
      <c r="F143" s="46"/>
    </row>
    <row r="144" spans="4:6" x14ac:dyDescent="0.25">
      <c r="D144" s="46"/>
      <c r="E144" s="46"/>
      <c r="F144" s="46"/>
    </row>
    <row r="145" spans="4:6" x14ac:dyDescent="0.25">
      <c r="D145" s="46"/>
      <c r="E145" s="46"/>
      <c r="F145" s="46"/>
    </row>
    <row r="146" spans="4:6" x14ac:dyDescent="0.25">
      <c r="D146" s="46"/>
      <c r="E146" s="46"/>
      <c r="F146" s="46"/>
    </row>
    <row r="147" spans="4:6" x14ac:dyDescent="0.25">
      <c r="D147" s="46"/>
      <c r="E147" s="46"/>
      <c r="F147" s="46"/>
    </row>
    <row r="148" spans="4:6" x14ac:dyDescent="0.25">
      <c r="D148" s="46"/>
      <c r="E148" s="46"/>
      <c r="F148" s="46"/>
    </row>
    <row r="149" spans="4:6" x14ac:dyDescent="0.25">
      <c r="D149" s="46"/>
      <c r="E149" s="46"/>
      <c r="F149" s="46"/>
    </row>
    <row r="150" spans="4:6" x14ac:dyDescent="0.25">
      <c r="D150" s="46"/>
      <c r="E150" s="46"/>
      <c r="F150" s="46"/>
    </row>
    <row r="151" spans="4:6" x14ac:dyDescent="0.25">
      <c r="D151" s="46"/>
      <c r="E151" s="46"/>
      <c r="F151" s="46"/>
    </row>
    <row r="152" spans="4:6" x14ac:dyDescent="0.25">
      <c r="D152" s="46"/>
      <c r="E152" s="46"/>
      <c r="F152" s="46"/>
    </row>
    <row r="153" spans="4:6" x14ac:dyDescent="0.25">
      <c r="D153" s="46"/>
      <c r="E153" s="46"/>
      <c r="F153" s="46"/>
    </row>
    <row r="154" spans="4:6" x14ac:dyDescent="0.25">
      <c r="D154" s="46"/>
      <c r="E154" s="46"/>
      <c r="F154" s="46"/>
    </row>
    <row r="155" spans="4:6" x14ac:dyDescent="0.25">
      <c r="D155" s="46"/>
      <c r="E155" s="46"/>
      <c r="F155" s="46"/>
    </row>
    <row r="156" spans="4:6" x14ac:dyDescent="0.25">
      <c r="D156" s="46"/>
      <c r="E156" s="46"/>
      <c r="F156" s="46"/>
    </row>
    <row r="157" spans="4:6" x14ac:dyDescent="0.25">
      <c r="D157" s="46"/>
      <c r="E157" s="46"/>
      <c r="F157" s="46"/>
    </row>
    <row r="158" spans="4:6" x14ac:dyDescent="0.25">
      <c r="D158" s="46"/>
      <c r="E158" s="46"/>
      <c r="F158" s="46"/>
    </row>
    <row r="159" spans="4:6" x14ac:dyDescent="0.25">
      <c r="D159" s="46"/>
      <c r="E159" s="46"/>
      <c r="F159" s="46"/>
    </row>
    <row r="160" spans="4:6" x14ac:dyDescent="0.25">
      <c r="D160" s="46"/>
      <c r="E160" s="46"/>
      <c r="F160" s="46"/>
    </row>
    <row r="161" spans="4:6" x14ac:dyDescent="0.25">
      <c r="D161" s="46"/>
      <c r="E161" s="46"/>
      <c r="F161" s="46"/>
    </row>
    <row r="162" spans="4:6" x14ac:dyDescent="0.25">
      <c r="D162" s="46"/>
      <c r="E162" s="46"/>
      <c r="F162" s="46"/>
    </row>
    <row r="163" spans="4:6" x14ac:dyDescent="0.25">
      <c r="D163" s="46"/>
      <c r="E163" s="46"/>
      <c r="F163" s="46"/>
    </row>
    <row r="164" spans="4:6" x14ac:dyDescent="0.25">
      <c r="D164" s="46"/>
      <c r="E164" s="46"/>
      <c r="F164" s="46"/>
    </row>
    <row r="165" spans="4:6" x14ac:dyDescent="0.25">
      <c r="D165" s="46"/>
      <c r="E165" s="46"/>
      <c r="F165" s="46"/>
    </row>
    <row r="166" spans="4:6" x14ac:dyDescent="0.25">
      <c r="D166" s="46"/>
      <c r="E166" s="46"/>
      <c r="F166" s="46"/>
    </row>
    <row r="167" spans="4:6" x14ac:dyDescent="0.25">
      <c r="D167" s="46"/>
      <c r="E167" s="46"/>
      <c r="F167" s="46"/>
    </row>
    <row r="168" spans="4:6" x14ac:dyDescent="0.25">
      <c r="D168" s="46"/>
      <c r="E168" s="46"/>
      <c r="F168" s="46"/>
    </row>
    <row r="169" spans="4:6" x14ac:dyDescent="0.25">
      <c r="D169" s="46"/>
      <c r="E169" s="46"/>
      <c r="F169" s="46"/>
    </row>
    <row r="170" spans="4:6" x14ac:dyDescent="0.25">
      <c r="D170" s="46"/>
      <c r="E170" s="46"/>
      <c r="F170" s="46"/>
    </row>
    <row r="171" spans="4:6" x14ac:dyDescent="0.25">
      <c r="D171" s="46"/>
      <c r="E171" s="46"/>
      <c r="F171" s="46"/>
    </row>
    <row r="172" spans="4:6" x14ac:dyDescent="0.25">
      <c r="D172" s="46"/>
      <c r="E172" s="46"/>
      <c r="F172" s="46"/>
    </row>
    <row r="173" spans="4:6" x14ac:dyDescent="0.25">
      <c r="D173" s="46"/>
      <c r="E173" s="46"/>
      <c r="F173" s="46"/>
    </row>
    <row r="174" spans="4:6" x14ac:dyDescent="0.25">
      <c r="D174" s="46"/>
      <c r="E174" s="46"/>
      <c r="F174" s="46"/>
    </row>
    <row r="175" spans="4:6" x14ac:dyDescent="0.25">
      <c r="D175" s="46"/>
      <c r="E175" s="46"/>
      <c r="F175" s="46"/>
    </row>
    <row r="176" spans="4:6" x14ac:dyDescent="0.25">
      <c r="D176" s="46"/>
      <c r="E176" s="46"/>
      <c r="F176" s="46"/>
    </row>
    <row r="177" spans="4:6" x14ac:dyDescent="0.25">
      <c r="D177" s="46"/>
      <c r="E177" s="46"/>
      <c r="F177" s="46"/>
    </row>
    <row r="178" spans="4:6" x14ac:dyDescent="0.25">
      <c r="D178" s="46"/>
      <c r="E178" s="46"/>
      <c r="F178" s="46"/>
    </row>
    <row r="179" spans="4:6" x14ac:dyDescent="0.25">
      <c r="D179" s="46"/>
      <c r="E179" s="46"/>
      <c r="F179" s="46"/>
    </row>
    <row r="180" spans="4:6" x14ac:dyDescent="0.25">
      <c r="D180" s="46"/>
      <c r="E180" s="46"/>
      <c r="F180" s="46"/>
    </row>
    <row r="181" spans="4:6" x14ac:dyDescent="0.25">
      <c r="D181" s="46"/>
      <c r="E181" s="46"/>
      <c r="F181" s="46"/>
    </row>
    <row r="182" spans="4:6" x14ac:dyDescent="0.25">
      <c r="D182" s="46"/>
      <c r="E182" s="46"/>
      <c r="F182" s="46"/>
    </row>
    <row r="183" spans="4:6" x14ac:dyDescent="0.25">
      <c r="D183" s="46"/>
      <c r="E183" s="46"/>
      <c r="F183" s="46"/>
    </row>
    <row r="184" spans="4:6" x14ac:dyDescent="0.25">
      <c r="D184" s="46"/>
      <c r="E184" s="46"/>
      <c r="F184" s="46"/>
    </row>
    <row r="185" spans="4:6" x14ac:dyDescent="0.25">
      <c r="D185" s="46"/>
      <c r="E185" s="46"/>
      <c r="F185" s="46"/>
    </row>
    <row r="186" spans="4:6" x14ac:dyDescent="0.25">
      <c r="D186" s="46"/>
      <c r="E186" s="46"/>
      <c r="F186" s="46"/>
    </row>
    <row r="187" spans="4:6" x14ac:dyDescent="0.25">
      <c r="D187" s="46"/>
      <c r="E187" s="46"/>
      <c r="F187" s="46"/>
    </row>
    <row r="188" spans="4:6" x14ac:dyDescent="0.25">
      <c r="D188" s="46"/>
      <c r="E188" s="46"/>
      <c r="F188" s="46"/>
    </row>
    <row r="189" spans="4:6" x14ac:dyDescent="0.25">
      <c r="D189" s="46"/>
      <c r="E189" s="46"/>
      <c r="F189" s="46"/>
    </row>
    <row r="190" spans="4:6" x14ac:dyDescent="0.25">
      <c r="D190" s="46"/>
      <c r="E190" s="46"/>
      <c r="F190" s="46"/>
    </row>
    <row r="191" spans="4:6" x14ac:dyDescent="0.25">
      <c r="D191" s="46"/>
      <c r="E191" s="46"/>
      <c r="F191" s="46"/>
    </row>
    <row r="192" spans="4:6" x14ac:dyDescent="0.25">
      <c r="D192" s="46"/>
      <c r="E192" s="46"/>
      <c r="F192" s="46"/>
    </row>
    <row r="193" spans="4:6" x14ac:dyDescent="0.25">
      <c r="D193" s="46"/>
      <c r="E193" s="46"/>
      <c r="F193" s="46"/>
    </row>
    <row r="194" spans="4:6" x14ac:dyDescent="0.25">
      <c r="D194" s="46"/>
      <c r="E194" s="46"/>
      <c r="F194" s="46"/>
    </row>
    <row r="195" spans="4:6" x14ac:dyDescent="0.25">
      <c r="D195" s="46"/>
      <c r="E195" s="46"/>
      <c r="F195" s="46"/>
    </row>
    <row r="196" spans="4:6" x14ac:dyDescent="0.25">
      <c r="D196" s="46"/>
      <c r="E196" s="46"/>
      <c r="F196" s="46"/>
    </row>
    <row r="197" spans="4:6" x14ac:dyDescent="0.25">
      <c r="D197" s="46"/>
      <c r="E197" s="46"/>
      <c r="F197" s="46"/>
    </row>
    <row r="198" spans="4:6" x14ac:dyDescent="0.25">
      <c r="D198" s="46"/>
      <c r="E198" s="46"/>
      <c r="F198" s="46"/>
    </row>
    <row r="199" spans="4:6" x14ac:dyDescent="0.25">
      <c r="D199" s="46"/>
      <c r="E199" s="46"/>
      <c r="F199" s="46"/>
    </row>
    <row r="200" spans="4:6" x14ac:dyDescent="0.25">
      <c r="D200" s="46"/>
      <c r="E200" s="46"/>
      <c r="F200" s="46"/>
    </row>
    <row r="201" spans="4:6" x14ac:dyDescent="0.25">
      <c r="D201" s="46"/>
      <c r="E201" s="46"/>
      <c r="F201" s="46"/>
    </row>
    <row r="202" spans="4:6" x14ac:dyDescent="0.25">
      <c r="D202" s="46"/>
      <c r="E202" s="46"/>
      <c r="F202" s="46"/>
    </row>
    <row r="203" spans="4:6" x14ac:dyDescent="0.25">
      <c r="D203" s="46"/>
      <c r="E203" s="46"/>
      <c r="F203" s="46"/>
    </row>
    <row r="204" spans="4:6" x14ac:dyDescent="0.25">
      <c r="D204" s="46"/>
      <c r="E204" s="46"/>
      <c r="F204" s="46"/>
    </row>
    <row r="205" spans="4:6" x14ac:dyDescent="0.25">
      <c r="D205" s="46"/>
      <c r="E205" s="46"/>
      <c r="F205" s="46"/>
    </row>
    <row r="206" spans="4:6" x14ac:dyDescent="0.25">
      <c r="D206" s="46"/>
      <c r="E206" s="46"/>
      <c r="F206" s="46"/>
    </row>
    <row r="207" spans="4:6" x14ac:dyDescent="0.25">
      <c r="D207" s="46"/>
      <c r="E207" s="46"/>
      <c r="F207" s="46"/>
    </row>
    <row r="208" spans="4:6" x14ac:dyDescent="0.25">
      <c r="D208" s="46"/>
      <c r="E208" s="46"/>
      <c r="F208" s="46"/>
    </row>
    <row r="209" spans="4:6" x14ac:dyDescent="0.25">
      <c r="D209" s="46"/>
      <c r="E209" s="46"/>
      <c r="F209" s="46"/>
    </row>
    <row r="210" spans="4:6" x14ac:dyDescent="0.25">
      <c r="D210" s="46"/>
      <c r="E210" s="46"/>
      <c r="F210" s="46"/>
    </row>
    <row r="211" spans="4:6" x14ac:dyDescent="0.25">
      <c r="D211" s="46"/>
      <c r="E211" s="46"/>
      <c r="F211" s="46"/>
    </row>
    <row r="212" spans="4:6" x14ac:dyDescent="0.25">
      <c r="D212" s="46"/>
      <c r="E212" s="46"/>
      <c r="F212" s="46"/>
    </row>
    <row r="213" spans="4:6" x14ac:dyDescent="0.25">
      <c r="D213" s="46"/>
      <c r="E213" s="46"/>
      <c r="F213" s="46"/>
    </row>
    <row r="214" spans="4:6" x14ac:dyDescent="0.25">
      <c r="D214" s="46"/>
      <c r="E214" s="46"/>
      <c r="F214" s="46"/>
    </row>
    <row r="215" spans="4:6" x14ac:dyDescent="0.25">
      <c r="D215" s="46"/>
      <c r="E215" s="46"/>
      <c r="F215" s="46"/>
    </row>
    <row r="216" spans="4:6" x14ac:dyDescent="0.25">
      <c r="D216" s="46"/>
      <c r="E216" s="46"/>
      <c r="F216" s="46"/>
    </row>
    <row r="217" spans="4:6" x14ac:dyDescent="0.25">
      <c r="D217" s="46"/>
      <c r="E217" s="46"/>
      <c r="F217" s="46"/>
    </row>
    <row r="218" spans="4:6" x14ac:dyDescent="0.25">
      <c r="D218" s="46"/>
      <c r="E218" s="46"/>
      <c r="F218" s="46"/>
    </row>
    <row r="219" spans="4:6" x14ac:dyDescent="0.25">
      <c r="D219" s="46"/>
      <c r="E219" s="46"/>
      <c r="F219" s="46"/>
    </row>
    <row r="220" spans="4:6" x14ac:dyDescent="0.25">
      <c r="D220" s="46"/>
      <c r="E220" s="46"/>
      <c r="F220" s="46"/>
    </row>
    <row r="221" spans="4:6" x14ac:dyDescent="0.25">
      <c r="D221" s="46"/>
      <c r="E221" s="46"/>
      <c r="F221" s="46"/>
    </row>
    <row r="222" spans="4:6" x14ac:dyDescent="0.25">
      <c r="D222" s="46"/>
      <c r="E222" s="46"/>
      <c r="F222" s="46"/>
    </row>
    <row r="223" spans="4:6" x14ac:dyDescent="0.25">
      <c r="D223" s="46"/>
      <c r="E223" s="46"/>
      <c r="F223" s="46"/>
    </row>
    <row r="224" spans="4:6" x14ac:dyDescent="0.25">
      <c r="D224" s="46"/>
      <c r="E224" s="46"/>
      <c r="F224" s="46"/>
    </row>
    <row r="225" spans="4:6" x14ac:dyDescent="0.25">
      <c r="D225" s="46"/>
      <c r="E225" s="46"/>
      <c r="F225" s="46"/>
    </row>
    <row r="226" spans="4:6" x14ac:dyDescent="0.25">
      <c r="D226" s="46"/>
      <c r="E226" s="46"/>
      <c r="F226" s="46"/>
    </row>
    <row r="227" spans="4:6" x14ac:dyDescent="0.25">
      <c r="D227" s="46"/>
      <c r="E227" s="46"/>
      <c r="F227" s="46"/>
    </row>
    <row r="228" spans="4:6" x14ac:dyDescent="0.25">
      <c r="D228" s="46"/>
      <c r="E228" s="46"/>
      <c r="F228" s="46"/>
    </row>
    <row r="229" spans="4:6" x14ac:dyDescent="0.25">
      <c r="D229" s="46"/>
      <c r="E229" s="46"/>
      <c r="F229" s="46"/>
    </row>
    <row r="230" spans="4:6" x14ac:dyDescent="0.25">
      <c r="D230" s="46"/>
      <c r="E230" s="46"/>
      <c r="F230" s="46"/>
    </row>
    <row r="231" spans="4:6" x14ac:dyDescent="0.25">
      <c r="D231" s="46"/>
      <c r="E231" s="46"/>
      <c r="F231" s="46"/>
    </row>
    <row r="232" spans="4:6" x14ac:dyDescent="0.25">
      <c r="D232" s="46"/>
      <c r="E232" s="46"/>
      <c r="F232" s="46"/>
    </row>
    <row r="233" spans="4:6" x14ac:dyDescent="0.25">
      <c r="D233" s="46"/>
      <c r="E233" s="46"/>
      <c r="F233" s="46"/>
    </row>
    <row r="234" spans="4:6" x14ac:dyDescent="0.25">
      <c r="D234" s="46"/>
      <c r="E234" s="46"/>
      <c r="F234" s="46"/>
    </row>
    <row r="235" spans="4:6" x14ac:dyDescent="0.25">
      <c r="D235" s="46"/>
      <c r="E235" s="46"/>
      <c r="F235" s="46"/>
    </row>
    <row r="236" spans="4:6" x14ac:dyDescent="0.25">
      <c r="D236" s="46"/>
      <c r="E236" s="46"/>
      <c r="F236" s="46"/>
    </row>
    <row r="237" spans="4:6" x14ac:dyDescent="0.25">
      <c r="D237" s="46"/>
      <c r="E237" s="46"/>
      <c r="F237" s="46"/>
    </row>
    <row r="238" spans="4:6" x14ac:dyDescent="0.25">
      <c r="D238" s="46"/>
      <c r="E238" s="46"/>
      <c r="F238" s="46"/>
    </row>
    <row r="239" spans="4:6" x14ac:dyDescent="0.25">
      <c r="D239" s="46"/>
      <c r="E239" s="46"/>
      <c r="F239" s="46"/>
    </row>
    <row r="240" spans="4:6" x14ac:dyDescent="0.25">
      <c r="D240" s="46"/>
      <c r="E240" s="46"/>
      <c r="F240" s="46"/>
    </row>
    <row r="241" spans="4:6" x14ac:dyDescent="0.25">
      <c r="D241" s="46"/>
      <c r="E241" s="46"/>
      <c r="F241" s="46"/>
    </row>
    <row r="242" spans="4:6" x14ac:dyDescent="0.25">
      <c r="D242" s="46"/>
      <c r="E242" s="46"/>
      <c r="F242" s="46"/>
    </row>
    <row r="243" spans="4:6" x14ac:dyDescent="0.25">
      <c r="D243" s="46"/>
      <c r="E243" s="46"/>
      <c r="F243" s="46"/>
    </row>
    <row r="244" spans="4:6" x14ac:dyDescent="0.25">
      <c r="D244" s="46"/>
      <c r="E244" s="46"/>
      <c r="F244" s="46"/>
    </row>
    <row r="245" spans="4:6" x14ac:dyDescent="0.25">
      <c r="D245" s="46"/>
      <c r="E245" s="46"/>
      <c r="F245" s="46"/>
    </row>
    <row r="246" spans="4:6" x14ac:dyDescent="0.25">
      <c r="D246" s="46"/>
      <c r="E246" s="46"/>
      <c r="F246" s="46"/>
    </row>
    <row r="247" spans="4:6" x14ac:dyDescent="0.25">
      <c r="D247" s="46"/>
      <c r="E247" s="46"/>
      <c r="F247" s="46"/>
    </row>
    <row r="248" spans="4:6" x14ac:dyDescent="0.25">
      <c r="D248" s="46"/>
      <c r="E248" s="46"/>
      <c r="F248" s="46"/>
    </row>
    <row r="249" spans="4:6" x14ac:dyDescent="0.25">
      <c r="D249" s="46"/>
      <c r="E249" s="46"/>
      <c r="F249" s="46"/>
    </row>
    <row r="250" spans="4:6" x14ac:dyDescent="0.25">
      <c r="D250" s="46"/>
      <c r="E250" s="46"/>
      <c r="F250" s="46"/>
    </row>
    <row r="251" spans="4:6" x14ac:dyDescent="0.25">
      <c r="D251" s="46"/>
      <c r="E251" s="46"/>
      <c r="F251" s="46"/>
    </row>
    <row r="252" spans="4:6" x14ac:dyDescent="0.25">
      <c r="D252" s="46"/>
      <c r="E252" s="46"/>
      <c r="F252" s="46"/>
    </row>
    <row r="253" spans="4:6" x14ac:dyDescent="0.25">
      <c r="D253" s="46"/>
      <c r="E253" s="46"/>
      <c r="F253" s="46"/>
    </row>
    <row r="254" spans="4:6" x14ac:dyDescent="0.25">
      <c r="D254" s="46"/>
      <c r="E254" s="46"/>
      <c r="F254" s="46"/>
    </row>
    <row r="255" spans="4:6" x14ac:dyDescent="0.25">
      <c r="D255" s="46"/>
      <c r="E255" s="46"/>
      <c r="F255" s="46"/>
    </row>
    <row r="256" spans="4:6" x14ac:dyDescent="0.25">
      <c r="D256" s="46"/>
      <c r="E256" s="46"/>
      <c r="F256" s="46"/>
    </row>
    <row r="257" spans="4:6" x14ac:dyDescent="0.25">
      <c r="D257" s="46"/>
      <c r="E257" s="46"/>
      <c r="F257" s="46"/>
    </row>
    <row r="258" spans="4:6" x14ac:dyDescent="0.25">
      <c r="D258" s="46"/>
      <c r="E258" s="46"/>
      <c r="F258" s="46"/>
    </row>
    <row r="259" spans="4:6" x14ac:dyDescent="0.25">
      <c r="D259" s="46"/>
      <c r="E259" s="46"/>
      <c r="F259" s="46"/>
    </row>
    <row r="260" spans="4:6" x14ac:dyDescent="0.25">
      <c r="D260" s="46"/>
      <c r="E260" s="46"/>
      <c r="F260" s="46"/>
    </row>
    <row r="261" spans="4:6" x14ac:dyDescent="0.25">
      <c r="D261" s="46"/>
      <c r="E261" s="46"/>
      <c r="F261" s="46"/>
    </row>
    <row r="262" spans="4:6" x14ac:dyDescent="0.25">
      <c r="D262" s="46"/>
      <c r="E262" s="46"/>
      <c r="F262" s="46"/>
    </row>
    <row r="263" spans="4:6" x14ac:dyDescent="0.25">
      <c r="D263" s="46"/>
      <c r="E263" s="46"/>
      <c r="F263" s="46"/>
    </row>
    <row r="264" spans="4:6" x14ac:dyDescent="0.25">
      <c r="D264" s="46"/>
      <c r="E264" s="46"/>
      <c r="F264" s="46"/>
    </row>
    <row r="265" spans="4:6" x14ac:dyDescent="0.25">
      <c r="D265" s="46"/>
      <c r="E265" s="46"/>
      <c r="F265" s="46"/>
    </row>
    <row r="266" spans="4:6" x14ac:dyDescent="0.25">
      <c r="D266" s="46"/>
      <c r="E266" s="46"/>
      <c r="F266" s="46"/>
    </row>
    <row r="267" spans="4:6" x14ac:dyDescent="0.25">
      <c r="D267" s="46"/>
      <c r="E267" s="46"/>
      <c r="F267" s="46"/>
    </row>
    <row r="268" spans="4:6" x14ac:dyDescent="0.25">
      <c r="D268" s="46"/>
      <c r="E268" s="46"/>
      <c r="F268" s="46"/>
    </row>
    <row r="269" spans="4:6" x14ac:dyDescent="0.25">
      <c r="D269" s="46"/>
      <c r="E269" s="46"/>
      <c r="F269" s="46"/>
    </row>
    <row r="270" spans="4:6" x14ac:dyDescent="0.25">
      <c r="D270" s="46"/>
      <c r="E270" s="46"/>
      <c r="F270" s="46"/>
    </row>
    <row r="271" spans="4:6" x14ac:dyDescent="0.25">
      <c r="D271" s="46"/>
      <c r="E271" s="46"/>
      <c r="F271" s="46"/>
    </row>
    <row r="272" spans="4:6" x14ac:dyDescent="0.25">
      <c r="D272" s="46"/>
      <c r="E272" s="46"/>
      <c r="F272" s="46"/>
    </row>
    <row r="273" spans="4:6" x14ac:dyDescent="0.25">
      <c r="D273" s="46"/>
      <c r="E273" s="46"/>
      <c r="F273" s="46"/>
    </row>
    <row r="274" spans="4:6" x14ac:dyDescent="0.25">
      <c r="D274" s="46"/>
      <c r="E274" s="46"/>
      <c r="F274" s="46"/>
    </row>
    <row r="275" spans="4:6" x14ac:dyDescent="0.25">
      <c r="D275" s="46"/>
      <c r="E275" s="46"/>
      <c r="F275" s="46"/>
    </row>
    <row r="276" spans="4:6" x14ac:dyDescent="0.25">
      <c r="D276" s="46"/>
      <c r="E276" s="46"/>
      <c r="F276" s="46"/>
    </row>
    <row r="277" spans="4:6" x14ac:dyDescent="0.25">
      <c r="D277" s="46"/>
      <c r="E277" s="46"/>
      <c r="F277" s="46"/>
    </row>
    <row r="278" spans="4:6" x14ac:dyDescent="0.25">
      <c r="D278" s="46"/>
      <c r="E278" s="46"/>
      <c r="F278" s="46"/>
    </row>
    <row r="279" spans="4:6" x14ac:dyDescent="0.25">
      <c r="D279" s="46"/>
      <c r="E279" s="46"/>
      <c r="F279" s="46"/>
    </row>
    <row r="280" spans="4:6" x14ac:dyDescent="0.25">
      <c r="D280" s="46"/>
      <c r="E280" s="46"/>
      <c r="F280" s="46"/>
    </row>
    <row r="281" spans="4:6" x14ac:dyDescent="0.25">
      <c r="D281" s="46"/>
      <c r="E281" s="46"/>
      <c r="F281" s="46"/>
    </row>
    <row r="282" spans="4:6" x14ac:dyDescent="0.25">
      <c r="D282" s="46"/>
      <c r="E282" s="46"/>
      <c r="F282" s="46"/>
    </row>
    <row r="283" spans="4:6" x14ac:dyDescent="0.25">
      <c r="D283" s="46"/>
      <c r="E283" s="46"/>
      <c r="F283" s="46"/>
    </row>
    <row r="284" spans="4:6" x14ac:dyDescent="0.25">
      <c r="D284" s="46"/>
      <c r="E284" s="46"/>
      <c r="F284" s="46"/>
    </row>
    <row r="285" spans="4:6" x14ac:dyDescent="0.25">
      <c r="D285" s="46"/>
      <c r="E285" s="46"/>
      <c r="F285" s="46"/>
    </row>
    <row r="286" spans="4:6" x14ac:dyDescent="0.25">
      <c r="D286" s="46"/>
      <c r="E286" s="46"/>
      <c r="F286" s="46"/>
    </row>
    <row r="287" spans="4:6" x14ac:dyDescent="0.25">
      <c r="D287" s="46"/>
      <c r="E287" s="46"/>
      <c r="F287" s="46"/>
    </row>
    <row r="288" spans="4:6" x14ac:dyDescent="0.25">
      <c r="D288" s="46"/>
      <c r="E288" s="46"/>
      <c r="F288" s="46"/>
    </row>
    <row r="289" spans="4:6" x14ac:dyDescent="0.25">
      <c r="D289" s="46"/>
      <c r="E289" s="46"/>
      <c r="F289" s="46"/>
    </row>
    <row r="290" spans="4:6" x14ac:dyDescent="0.25">
      <c r="D290" s="46"/>
      <c r="E290" s="46"/>
      <c r="F290" s="46"/>
    </row>
    <row r="291" spans="4:6" x14ac:dyDescent="0.25">
      <c r="D291" s="46"/>
      <c r="E291" s="46"/>
      <c r="F291" s="46"/>
    </row>
    <row r="292" spans="4:6" x14ac:dyDescent="0.25">
      <c r="D292" s="46"/>
      <c r="E292" s="46"/>
      <c r="F292" s="46"/>
    </row>
    <row r="293" spans="4:6" x14ac:dyDescent="0.25">
      <c r="D293" s="46"/>
      <c r="E293" s="46"/>
      <c r="F293" s="46"/>
    </row>
    <row r="294" spans="4:6" x14ac:dyDescent="0.25">
      <c r="D294" s="46"/>
      <c r="E294" s="46"/>
      <c r="F294" s="46"/>
    </row>
    <row r="295" spans="4:6" x14ac:dyDescent="0.25">
      <c r="D295" s="46"/>
      <c r="E295" s="46"/>
      <c r="F295" s="46"/>
    </row>
    <row r="296" spans="4:6" x14ac:dyDescent="0.25">
      <c r="D296" s="46"/>
      <c r="E296" s="46"/>
      <c r="F296" s="46"/>
    </row>
    <row r="297" spans="4:6" x14ac:dyDescent="0.25">
      <c r="D297" s="46"/>
      <c r="E297" s="46"/>
      <c r="F297" s="46"/>
    </row>
    <row r="298" spans="4:6" x14ac:dyDescent="0.25">
      <c r="D298" s="46"/>
      <c r="E298" s="46"/>
      <c r="F298" s="46"/>
    </row>
    <row r="299" spans="4:6" x14ac:dyDescent="0.25">
      <c r="D299" s="46"/>
      <c r="E299" s="46"/>
      <c r="F299" s="46"/>
    </row>
    <row r="300" spans="4:6" x14ac:dyDescent="0.25">
      <c r="D300" s="46"/>
      <c r="E300" s="46"/>
      <c r="F300" s="46"/>
    </row>
    <row r="301" spans="4:6" x14ac:dyDescent="0.25">
      <c r="D301" s="46"/>
      <c r="E301" s="46"/>
      <c r="F301" s="46"/>
    </row>
    <row r="302" spans="4:6" x14ac:dyDescent="0.25">
      <c r="D302" s="46"/>
      <c r="E302" s="46"/>
      <c r="F302" s="46"/>
    </row>
    <row r="303" spans="4:6" x14ac:dyDescent="0.25">
      <c r="D303" s="46"/>
      <c r="E303" s="46"/>
      <c r="F303" s="46"/>
    </row>
    <row r="304" spans="4:6" x14ac:dyDescent="0.25">
      <c r="D304" s="46"/>
      <c r="E304" s="46"/>
      <c r="F304" s="46"/>
    </row>
    <row r="305" spans="4:6" x14ac:dyDescent="0.25">
      <c r="D305" s="46"/>
      <c r="E305" s="46"/>
      <c r="F305" s="46"/>
    </row>
    <row r="306" spans="4:6" x14ac:dyDescent="0.25">
      <c r="D306" s="46"/>
      <c r="E306" s="46"/>
      <c r="F306" s="46"/>
    </row>
    <row r="307" spans="4:6" x14ac:dyDescent="0.25">
      <c r="D307" s="46"/>
      <c r="E307" s="46"/>
      <c r="F307" s="46"/>
    </row>
    <row r="308" spans="4:6" x14ac:dyDescent="0.25">
      <c r="D308" s="46"/>
      <c r="E308" s="46"/>
      <c r="F308" s="46"/>
    </row>
    <row r="309" spans="4:6" x14ac:dyDescent="0.25">
      <c r="D309" s="46"/>
      <c r="E309" s="46"/>
      <c r="F309" s="46"/>
    </row>
    <row r="310" spans="4:6" x14ac:dyDescent="0.25">
      <c r="D310" s="46"/>
      <c r="E310" s="46"/>
      <c r="F310" s="46"/>
    </row>
    <row r="311" spans="4:6" x14ac:dyDescent="0.25">
      <c r="D311" s="46"/>
      <c r="E311" s="46"/>
      <c r="F311" s="46"/>
    </row>
    <row r="312" spans="4:6" x14ac:dyDescent="0.25">
      <c r="D312" s="46"/>
      <c r="E312" s="46"/>
      <c r="F312" s="46"/>
    </row>
    <row r="313" spans="4:6" x14ac:dyDescent="0.25">
      <c r="D313" s="46"/>
      <c r="E313" s="46"/>
      <c r="F313" s="46"/>
    </row>
    <row r="314" spans="4:6" x14ac:dyDescent="0.25">
      <c r="D314" s="46"/>
      <c r="E314" s="46"/>
      <c r="F314" s="46"/>
    </row>
    <row r="315" spans="4:6" x14ac:dyDescent="0.25">
      <c r="D315" s="46"/>
      <c r="E315" s="46"/>
      <c r="F315" s="46"/>
    </row>
    <row r="316" spans="4:6" x14ac:dyDescent="0.25">
      <c r="D316" s="46"/>
      <c r="E316" s="46"/>
      <c r="F316" s="46"/>
    </row>
    <row r="317" spans="4:6" x14ac:dyDescent="0.25">
      <c r="D317" s="46"/>
      <c r="E317" s="46"/>
      <c r="F317" s="46"/>
    </row>
    <row r="318" spans="4:6" x14ac:dyDescent="0.25">
      <c r="D318" s="46"/>
      <c r="E318" s="46"/>
      <c r="F318" s="46"/>
    </row>
    <row r="319" spans="4:6" x14ac:dyDescent="0.25">
      <c r="D319" s="46"/>
      <c r="E319" s="46"/>
      <c r="F319" s="46"/>
    </row>
    <row r="320" spans="4:6" x14ac:dyDescent="0.25">
      <c r="D320" s="46"/>
      <c r="E320" s="46"/>
      <c r="F320" s="46"/>
    </row>
    <row r="321" spans="4:6" x14ac:dyDescent="0.25">
      <c r="D321" s="46"/>
      <c r="E321" s="46"/>
      <c r="F321" s="46"/>
    </row>
    <row r="322" spans="4:6" x14ac:dyDescent="0.25">
      <c r="D322" s="46"/>
      <c r="E322" s="46"/>
      <c r="F322" s="46"/>
    </row>
    <row r="323" spans="4:6" x14ac:dyDescent="0.25">
      <c r="D323" s="46"/>
      <c r="E323" s="46"/>
      <c r="F323" s="46"/>
    </row>
    <row r="324" spans="4:6" x14ac:dyDescent="0.25">
      <c r="D324" s="46"/>
      <c r="E324" s="46"/>
      <c r="F324" s="46"/>
    </row>
    <row r="325" spans="4:6" x14ac:dyDescent="0.25">
      <c r="D325" s="46"/>
      <c r="E325" s="46"/>
      <c r="F325" s="46"/>
    </row>
    <row r="326" spans="4:6" x14ac:dyDescent="0.25">
      <c r="D326" s="46"/>
      <c r="E326" s="46"/>
      <c r="F326" s="46"/>
    </row>
    <row r="327" spans="4:6" x14ac:dyDescent="0.25">
      <c r="D327" s="46"/>
      <c r="E327" s="46"/>
      <c r="F327" s="46"/>
    </row>
    <row r="328" spans="4:6" x14ac:dyDescent="0.25">
      <c r="D328" s="46"/>
      <c r="E328" s="46"/>
      <c r="F328" s="46"/>
    </row>
    <row r="329" spans="4:6" x14ac:dyDescent="0.25">
      <c r="D329" s="46"/>
      <c r="E329" s="46"/>
      <c r="F329" s="46"/>
    </row>
    <row r="330" spans="4:6" x14ac:dyDescent="0.25">
      <c r="D330" s="46"/>
      <c r="E330" s="46"/>
      <c r="F330" s="46"/>
    </row>
    <row r="331" spans="4:6" x14ac:dyDescent="0.25">
      <c r="D331" s="46"/>
      <c r="E331" s="46"/>
      <c r="F331" s="46"/>
    </row>
    <row r="332" spans="4:6" x14ac:dyDescent="0.25">
      <c r="D332" s="46"/>
      <c r="E332" s="46"/>
      <c r="F332" s="46"/>
    </row>
    <row r="333" spans="4:6" x14ac:dyDescent="0.25">
      <c r="D333" s="46"/>
      <c r="E333" s="46"/>
      <c r="F333" s="46"/>
    </row>
    <row r="334" spans="4:6" x14ac:dyDescent="0.25">
      <c r="D334" s="46"/>
      <c r="E334" s="46"/>
      <c r="F334" s="46"/>
    </row>
    <row r="335" spans="4:6" x14ac:dyDescent="0.25">
      <c r="D335" s="46"/>
      <c r="E335" s="46"/>
      <c r="F335" s="46"/>
    </row>
    <row r="336" spans="4:6" x14ac:dyDescent="0.25">
      <c r="D336" s="46"/>
      <c r="E336" s="46"/>
      <c r="F336" s="46"/>
    </row>
    <row r="337" spans="4:6" x14ac:dyDescent="0.25">
      <c r="D337" s="46"/>
      <c r="E337" s="46"/>
      <c r="F337" s="46"/>
    </row>
    <row r="338" spans="4:6" x14ac:dyDescent="0.25">
      <c r="D338" s="46"/>
      <c r="E338" s="46"/>
      <c r="F338" s="46"/>
    </row>
    <row r="339" spans="4:6" x14ac:dyDescent="0.25">
      <c r="D339" s="46"/>
      <c r="E339" s="46"/>
      <c r="F339" s="46"/>
    </row>
    <row r="340" spans="4:6" x14ac:dyDescent="0.25">
      <c r="D340" s="46"/>
      <c r="E340" s="46"/>
      <c r="F340" s="46"/>
    </row>
    <row r="341" spans="4:6" x14ac:dyDescent="0.25">
      <c r="D341" s="46"/>
      <c r="E341" s="46"/>
      <c r="F341" s="46"/>
    </row>
    <row r="342" spans="4:6" x14ac:dyDescent="0.25">
      <c r="D342" s="46"/>
      <c r="E342" s="46"/>
      <c r="F342" s="46"/>
    </row>
    <row r="343" spans="4:6" x14ac:dyDescent="0.25">
      <c r="D343" s="46"/>
      <c r="E343" s="46"/>
      <c r="F343" s="46"/>
    </row>
    <row r="344" spans="4:6" x14ac:dyDescent="0.25">
      <c r="D344" s="46"/>
      <c r="E344" s="46"/>
      <c r="F344" s="46"/>
    </row>
    <row r="345" spans="4:6" x14ac:dyDescent="0.25">
      <c r="D345" s="46"/>
      <c r="E345" s="46"/>
      <c r="F345" s="46"/>
    </row>
    <row r="346" spans="4:6" x14ac:dyDescent="0.25">
      <c r="D346" s="46"/>
      <c r="E346" s="46"/>
      <c r="F346" s="46"/>
    </row>
    <row r="347" spans="4:6" x14ac:dyDescent="0.25">
      <c r="D347" s="46"/>
      <c r="E347" s="46"/>
      <c r="F347" s="46"/>
    </row>
    <row r="348" spans="4:6" x14ac:dyDescent="0.25">
      <c r="D348" s="46"/>
      <c r="E348" s="46"/>
      <c r="F348" s="46"/>
    </row>
    <row r="349" spans="4:6" x14ac:dyDescent="0.25">
      <c r="D349" s="46"/>
      <c r="E349" s="46"/>
      <c r="F349" s="46"/>
    </row>
    <row r="350" spans="4:6" x14ac:dyDescent="0.25">
      <c r="D350" s="46"/>
      <c r="E350" s="46"/>
      <c r="F350" s="46"/>
    </row>
    <row r="351" spans="4:6" x14ac:dyDescent="0.25">
      <c r="D351" s="46"/>
      <c r="E351" s="46"/>
      <c r="F351" s="46"/>
    </row>
    <row r="352" spans="4:6" x14ac:dyDescent="0.25">
      <c r="D352" s="46"/>
      <c r="E352" s="46"/>
      <c r="F352" s="46"/>
    </row>
    <row r="353" spans="4:6" x14ac:dyDescent="0.25">
      <c r="D353" s="46"/>
      <c r="E353" s="46"/>
      <c r="F353" s="46"/>
    </row>
    <row r="354" spans="4:6" x14ac:dyDescent="0.25">
      <c r="D354" s="46"/>
      <c r="E354" s="46"/>
      <c r="F354" s="46"/>
    </row>
    <row r="355" spans="4:6" x14ac:dyDescent="0.25">
      <c r="D355" s="46"/>
      <c r="E355" s="46"/>
      <c r="F355" s="46"/>
    </row>
    <row r="356" spans="4:6" x14ac:dyDescent="0.25">
      <c r="D356" s="46"/>
      <c r="E356" s="46"/>
      <c r="F356" s="46"/>
    </row>
    <row r="357" spans="4:6" x14ac:dyDescent="0.25">
      <c r="D357" s="46"/>
      <c r="E357" s="46"/>
      <c r="F357" s="46"/>
    </row>
    <row r="358" spans="4:6" x14ac:dyDescent="0.25">
      <c r="D358" s="46"/>
      <c r="E358" s="46"/>
      <c r="F358" s="46"/>
    </row>
    <row r="359" spans="4:6" x14ac:dyDescent="0.25">
      <c r="D359" s="46"/>
      <c r="E359" s="46"/>
      <c r="F359" s="46"/>
    </row>
    <row r="360" spans="4:6" x14ac:dyDescent="0.25">
      <c r="D360" s="46"/>
      <c r="E360" s="46"/>
      <c r="F360" s="46"/>
    </row>
    <row r="361" spans="4:6" x14ac:dyDescent="0.25">
      <c r="D361" s="46"/>
      <c r="E361" s="46"/>
      <c r="F361" s="46"/>
    </row>
    <row r="362" spans="4:6" x14ac:dyDescent="0.25">
      <c r="D362" s="46"/>
      <c r="E362" s="46"/>
      <c r="F362" s="46"/>
    </row>
    <row r="363" spans="4:6" x14ac:dyDescent="0.25">
      <c r="D363" s="46"/>
      <c r="E363" s="46"/>
      <c r="F363" s="46"/>
    </row>
    <row r="364" spans="4:6" x14ac:dyDescent="0.25">
      <c r="D364" s="46"/>
      <c r="E364" s="46"/>
      <c r="F364" s="46"/>
    </row>
    <row r="365" spans="4:6" x14ac:dyDescent="0.25">
      <c r="D365" s="46"/>
      <c r="E365" s="46"/>
      <c r="F365" s="46"/>
    </row>
    <row r="366" spans="4:6" x14ac:dyDescent="0.25">
      <c r="D366" s="46"/>
      <c r="E366" s="46"/>
      <c r="F366" s="46"/>
    </row>
    <row r="367" spans="4:6" x14ac:dyDescent="0.25">
      <c r="D367" s="46"/>
      <c r="E367" s="46"/>
      <c r="F367" s="46"/>
    </row>
    <row r="368" spans="4:6" x14ac:dyDescent="0.25">
      <c r="D368" s="46"/>
      <c r="E368" s="46"/>
      <c r="F368" s="46"/>
    </row>
    <row r="369" spans="4:6" x14ac:dyDescent="0.25">
      <c r="D369" s="46"/>
      <c r="E369" s="46"/>
      <c r="F369" s="46"/>
    </row>
    <row r="370" spans="4:6" x14ac:dyDescent="0.25">
      <c r="D370" s="46"/>
      <c r="E370" s="46"/>
      <c r="F370" s="46"/>
    </row>
    <row r="371" spans="4:6" x14ac:dyDescent="0.25">
      <c r="D371" s="46"/>
      <c r="E371" s="46"/>
      <c r="F371" s="46"/>
    </row>
    <row r="372" spans="4:6" x14ac:dyDescent="0.25">
      <c r="D372" s="46"/>
      <c r="E372" s="46"/>
      <c r="F372" s="46"/>
    </row>
    <row r="373" spans="4:6" x14ac:dyDescent="0.25">
      <c r="D373" s="46"/>
      <c r="E373" s="46"/>
      <c r="F373" s="46"/>
    </row>
    <row r="374" spans="4:6" x14ac:dyDescent="0.25">
      <c r="D374" s="46"/>
      <c r="E374" s="46"/>
      <c r="F374" s="46"/>
    </row>
    <row r="375" spans="4:6" x14ac:dyDescent="0.25">
      <c r="D375" s="46"/>
      <c r="E375" s="46"/>
      <c r="F375" s="46"/>
    </row>
    <row r="376" spans="4:6" x14ac:dyDescent="0.25">
      <c r="D376" s="46"/>
      <c r="E376" s="46"/>
      <c r="F376" s="46"/>
    </row>
    <row r="377" spans="4:6" x14ac:dyDescent="0.25">
      <c r="D377" s="46"/>
      <c r="E377" s="46"/>
      <c r="F377" s="46"/>
    </row>
    <row r="378" spans="4:6" x14ac:dyDescent="0.25">
      <c r="D378" s="46"/>
      <c r="E378" s="46"/>
      <c r="F378" s="46"/>
    </row>
    <row r="379" spans="4:6" x14ac:dyDescent="0.25">
      <c r="D379" s="46"/>
      <c r="E379" s="46"/>
      <c r="F379" s="46"/>
    </row>
    <row r="380" spans="4:6" x14ac:dyDescent="0.25">
      <c r="D380" s="46"/>
      <c r="E380" s="46"/>
      <c r="F380" s="46"/>
    </row>
    <row r="381" spans="4:6" x14ac:dyDescent="0.25">
      <c r="D381" s="46"/>
      <c r="E381" s="46"/>
      <c r="F381" s="46"/>
    </row>
    <row r="382" spans="4:6" x14ac:dyDescent="0.25">
      <c r="D382" s="46"/>
      <c r="E382" s="46"/>
      <c r="F382" s="46"/>
    </row>
    <row r="383" spans="4:6" x14ac:dyDescent="0.25">
      <c r="D383" s="46"/>
      <c r="E383" s="46"/>
      <c r="F383" s="46"/>
    </row>
    <row r="384" spans="4:6" x14ac:dyDescent="0.25">
      <c r="D384" s="46"/>
      <c r="E384" s="46"/>
      <c r="F384" s="46"/>
    </row>
    <row r="385" spans="4:6" x14ac:dyDescent="0.25">
      <c r="D385" s="46"/>
      <c r="E385" s="46"/>
      <c r="F385" s="46"/>
    </row>
    <row r="386" spans="4:6" x14ac:dyDescent="0.25">
      <c r="D386" s="46"/>
      <c r="E386" s="46"/>
      <c r="F386" s="46"/>
    </row>
    <row r="387" spans="4:6" x14ac:dyDescent="0.25">
      <c r="D387" s="46"/>
      <c r="E387" s="46"/>
      <c r="F387" s="46"/>
    </row>
    <row r="388" spans="4:6" x14ac:dyDescent="0.25">
      <c r="D388" s="46"/>
      <c r="E388" s="46"/>
      <c r="F388" s="46"/>
    </row>
    <row r="389" spans="4:6" x14ac:dyDescent="0.25">
      <c r="D389" s="46"/>
      <c r="E389" s="46"/>
      <c r="F389" s="46"/>
    </row>
    <row r="390" spans="4:6" x14ac:dyDescent="0.25">
      <c r="D390" s="46"/>
      <c r="E390" s="46"/>
      <c r="F390" s="46"/>
    </row>
    <row r="391" spans="4:6" x14ac:dyDescent="0.25">
      <c r="D391" s="46"/>
      <c r="E391" s="46"/>
      <c r="F391" s="46"/>
    </row>
    <row r="392" spans="4:6" x14ac:dyDescent="0.25">
      <c r="D392" s="46"/>
      <c r="E392" s="46"/>
      <c r="F392" s="46"/>
    </row>
    <row r="393" spans="4:6" x14ac:dyDescent="0.25">
      <c r="D393" s="46"/>
      <c r="E393" s="46"/>
      <c r="F393" s="46"/>
    </row>
    <row r="394" spans="4:6" x14ac:dyDescent="0.25">
      <c r="D394" s="46"/>
      <c r="E394" s="46"/>
      <c r="F394" s="46"/>
    </row>
    <row r="395" spans="4:6" x14ac:dyDescent="0.25">
      <c r="D395" s="46"/>
      <c r="E395" s="46"/>
      <c r="F395" s="46"/>
    </row>
    <row r="396" spans="4:6" x14ac:dyDescent="0.25">
      <c r="D396" s="46"/>
      <c r="E396" s="46"/>
      <c r="F396" s="46"/>
    </row>
    <row r="397" spans="4:6" x14ac:dyDescent="0.25">
      <c r="D397" s="46"/>
      <c r="E397" s="46"/>
      <c r="F397" s="46"/>
    </row>
    <row r="398" spans="4:6" x14ac:dyDescent="0.25">
      <c r="D398" s="46"/>
      <c r="E398" s="46"/>
      <c r="F398" s="46"/>
    </row>
    <row r="399" spans="4:6" x14ac:dyDescent="0.25">
      <c r="D399" s="46"/>
      <c r="E399" s="46"/>
      <c r="F399" s="46"/>
    </row>
    <row r="400" spans="4:6" x14ac:dyDescent="0.25">
      <c r="D400" s="46"/>
      <c r="E400" s="46"/>
      <c r="F400" s="46"/>
    </row>
    <row r="401" spans="4:6" x14ac:dyDescent="0.25">
      <c r="D401" s="46"/>
      <c r="E401" s="46"/>
      <c r="F401" s="46"/>
    </row>
    <row r="402" spans="4:6" x14ac:dyDescent="0.25">
      <c r="D402" s="46"/>
      <c r="E402" s="46"/>
      <c r="F402" s="46"/>
    </row>
    <row r="403" spans="4:6" x14ac:dyDescent="0.25">
      <c r="D403" s="46"/>
      <c r="E403" s="46"/>
      <c r="F403" s="46"/>
    </row>
    <row r="404" spans="4:6" x14ac:dyDescent="0.25">
      <c r="D404" s="46"/>
      <c r="E404" s="46"/>
      <c r="F404" s="46"/>
    </row>
    <row r="405" spans="4:6" x14ac:dyDescent="0.25">
      <c r="D405" s="46"/>
      <c r="E405" s="46"/>
      <c r="F405" s="46"/>
    </row>
    <row r="406" spans="4:6" x14ac:dyDescent="0.25">
      <c r="D406" s="46"/>
      <c r="E406" s="46"/>
      <c r="F406" s="46"/>
    </row>
    <row r="407" spans="4:6" x14ac:dyDescent="0.25">
      <c r="D407" s="46"/>
      <c r="E407" s="46"/>
      <c r="F407" s="46"/>
    </row>
    <row r="408" spans="4:6" x14ac:dyDescent="0.25">
      <c r="D408" s="46"/>
      <c r="E408" s="46"/>
      <c r="F408" s="46"/>
    </row>
    <row r="409" spans="4:6" x14ac:dyDescent="0.25">
      <c r="D409" s="46"/>
      <c r="E409" s="46"/>
      <c r="F409" s="46"/>
    </row>
    <row r="410" spans="4:6" x14ac:dyDescent="0.25">
      <c r="D410" s="46"/>
      <c r="E410" s="46"/>
      <c r="F410" s="46"/>
    </row>
    <row r="411" spans="4:6" x14ac:dyDescent="0.25">
      <c r="D411" s="46"/>
      <c r="E411" s="46"/>
      <c r="F411" s="46"/>
    </row>
    <row r="412" spans="4:6" x14ac:dyDescent="0.25">
      <c r="D412" s="46"/>
      <c r="E412" s="46"/>
      <c r="F412" s="46"/>
    </row>
    <row r="413" spans="4:6" x14ac:dyDescent="0.25">
      <c r="D413" s="46"/>
      <c r="E413" s="46"/>
      <c r="F413" s="46"/>
    </row>
    <row r="414" spans="4:6" x14ac:dyDescent="0.25">
      <c r="D414" s="46"/>
      <c r="E414" s="46"/>
      <c r="F414" s="46"/>
    </row>
    <row r="415" spans="4:6" x14ac:dyDescent="0.25">
      <c r="D415" s="46"/>
      <c r="E415" s="46"/>
      <c r="F415" s="46"/>
    </row>
    <row r="416" spans="4:6" x14ac:dyDescent="0.25">
      <c r="D416" s="46"/>
      <c r="E416" s="46"/>
      <c r="F416" s="46"/>
    </row>
    <row r="417" spans="4:6" x14ac:dyDescent="0.25">
      <c r="D417" s="46"/>
      <c r="E417" s="46"/>
      <c r="F417" s="46"/>
    </row>
    <row r="418" spans="4:6" x14ac:dyDescent="0.25">
      <c r="D418" s="46"/>
      <c r="E418" s="46"/>
      <c r="F418" s="46"/>
    </row>
    <row r="419" spans="4:6" x14ac:dyDescent="0.25">
      <c r="D419" s="46"/>
      <c r="E419" s="46"/>
      <c r="F419" s="46"/>
    </row>
    <row r="420" spans="4:6" x14ac:dyDescent="0.25">
      <c r="D420" s="46"/>
      <c r="E420" s="46"/>
      <c r="F420" s="46"/>
    </row>
    <row r="421" spans="4:6" x14ac:dyDescent="0.25">
      <c r="D421" s="46"/>
      <c r="E421" s="46"/>
      <c r="F421" s="46"/>
    </row>
    <row r="422" spans="4:6" x14ac:dyDescent="0.25">
      <c r="D422" s="46"/>
      <c r="E422" s="46"/>
      <c r="F422" s="46"/>
    </row>
    <row r="423" spans="4:6" x14ac:dyDescent="0.25">
      <c r="D423" s="46"/>
      <c r="E423" s="46"/>
      <c r="F423" s="46"/>
    </row>
    <row r="424" spans="4:6" x14ac:dyDescent="0.25">
      <c r="D424" s="46"/>
      <c r="E424" s="46"/>
      <c r="F424" s="46"/>
    </row>
    <row r="425" spans="4:6" x14ac:dyDescent="0.25">
      <c r="D425" s="46"/>
      <c r="E425" s="46"/>
      <c r="F425" s="46"/>
    </row>
    <row r="426" spans="4:6" x14ac:dyDescent="0.25">
      <c r="D426" s="46"/>
      <c r="E426" s="46"/>
      <c r="F426" s="46"/>
    </row>
    <row r="427" spans="4:6" x14ac:dyDescent="0.25">
      <c r="D427" s="46"/>
      <c r="E427" s="46"/>
      <c r="F427" s="46"/>
    </row>
    <row r="428" spans="4:6" x14ac:dyDescent="0.25">
      <c r="D428" s="46"/>
      <c r="E428" s="46"/>
      <c r="F428" s="46"/>
    </row>
    <row r="429" spans="4:6" x14ac:dyDescent="0.25">
      <c r="D429" s="46"/>
      <c r="E429" s="46"/>
      <c r="F429" s="46"/>
    </row>
    <row r="430" spans="4:6" x14ac:dyDescent="0.25">
      <c r="D430" s="46"/>
      <c r="E430" s="46"/>
      <c r="F430" s="46"/>
    </row>
    <row r="431" spans="4:6" x14ac:dyDescent="0.25">
      <c r="D431" s="46"/>
      <c r="E431" s="46"/>
      <c r="F431" s="46"/>
    </row>
    <row r="432" spans="4:6" x14ac:dyDescent="0.25">
      <c r="D432" s="46"/>
      <c r="E432" s="46"/>
      <c r="F432" s="46"/>
    </row>
    <row r="433" spans="4:6" x14ac:dyDescent="0.25">
      <c r="D433" s="46"/>
      <c r="E433" s="46"/>
      <c r="F433" s="46"/>
    </row>
    <row r="434" spans="4:6" x14ac:dyDescent="0.25">
      <c r="D434" s="46"/>
      <c r="E434" s="46"/>
      <c r="F434" s="46"/>
    </row>
    <row r="435" spans="4:6" x14ac:dyDescent="0.25">
      <c r="D435" s="46"/>
      <c r="E435" s="46"/>
      <c r="F435" s="46"/>
    </row>
    <row r="436" spans="4:6" x14ac:dyDescent="0.25">
      <c r="D436" s="46"/>
      <c r="E436" s="46"/>
      <c r="F436" s="46"/>
    </row>
    <row r="437" spans="4:6" x14ac:dyDescent="0.25">
      <c r="D437" s="46"/>
      <c r="E437" s="46"/>
      <c r="F437" s="46"/>
    </row>
    <row r="438" spans="4:6" x14ac:dyDescent="0.25">
      <c r="D438" s="46"/>
      <c r="E438" s="46"/>
      <c r="F438" s="46"/>
    </row>
    <row r="439" spans="4:6" x14ac:dyDescent="0.25">
      <c r="D439" s="46"/>
      <c r="E439" s="46"/>
      <c r="F439" s="46"/>
    </row>
    <row r="440" spans="4:6" x14ac:dyDescent="0.25">
      <c r="D440" s="46"/>
      <c r="E440" s="46"/>
      <c r="F440" s="46"/>
    </row>
    <row r="441" spans="4:6" x14ac:dyDescent="0.25">
      <c r="D441" s="46"/>
      <c r="E441" s="46"/>
      <c r="F441" s="46"/>
    </row>
    <row r="442" spans="4:6" x14ac:dyDescent="0.25">
      <c r="D442" s="46"/>
      <c r="E442" s="46"/>
      <c r="F442" s="46"/>
    </row>
    <row r="443" spans="4:6" x14ac:dyDescent="0.25">
      <c r="D443" s="46"/>
      <c r="E443" s="46"/>
      <c r="F443" s="46"/>
    </row>
    <row r="444" spans="4:6" x14ac:dyDescent="0.25">
      <c r="D444" s="46"/>
      <c r="E444" s="46"/>
      <c r="F444" s="46"/>
    </row>
    <row r="445" spans="4:6" x14ac:dyDescent="0.25">
      <c r="D445" s="46"/>
      <c r="E445" s="46"/>
      <c r="F445" s="46"/>
    </row>
    <row r="446" spans="4:6" x14ac:dyDescent="0.25">
      <c r="D446" s="46"/>
      <c r="E446" s="46"/>
      <c r="F446" s="46"/>
    </row>
    <row r="447" spans="4:6" x14ac:dyDescent="0.25">
      <c r="D447" s="46"/>
      <c r="E447" s="46"/>
      <c r="F447" s="46"/>
    </row>
    <row r="448" spans="4:6" x14ac:dyDescent="0.25">
      <c r="D448" s="46"/>
      <c r="E448" s="46"/>
      <c r="F448" s="46"/>
    </row>
    <row r="449" spans="4:6" x14ac:dyDescent="0.25">
      <c r="D449" s="46"/>
      <c r="E449" s="46"/>
      <c r="F449" s="46"/>
    </row>
    <row r="450" spans="4:6" x14ac:dyDescent="0.25">
      <c r="D450" s="46"/>
      <c r="E450" s="46"/>
      <c r="F450" s="46"/>
    </row>
    <row r="451" spans="4:6" x14ac:dyDescent="0.25">
      <c r="D451" s="46"/>
      <c r="E451" s="46"/>
      <c r="F451" s="46"/>
    </row>
    <row r="452" spans="4:6" x14ac:dyDescent="0.25">
      <c r="D452" s="46"/>
      <c r="E452" s="46"/>
      <c r="F452" s="46"/>
    </row>
    <row r="453" spans="4:6" x14ac:dyDescent="0.25">
      <c r="D453" s="46"/>
      <c r="E453" s="46"/>
      <c r="F453" s="46"/>
    </row>
    <row r="454" spans="4:6" x14ac:dyDescent="0.25">
      <c r="D454" s="46"/>
      <c r="E454" s="46"/>
      <c r="F454" s="46"/>
    </row>
    <row r="455" spans="4:6" x14ac:dyDescent="0.25">
      <c r="D455" s="46"/>
      <c r="E455" s="46"/>
      <c r="F455" s="46"/>
    </row>
    <row r="456" spans="4:6" x14ac:dyDescent="0.25">
      <c r="D456" s="46"/>
      <c r="E456" s="46"/>
      <c r="F456" s="46"/>
    </row>
    <row r="457" spans="4:6" x14ac:dyDescent="0.25">
      <c r="D457" s="46"/>
      <c r="E457" s="46"/>
      <c r="F457" s="46"/>
    </row>
    <row r="458" spans="4:6" x14ac:dyDescent="0.25">
      <c r="D458" s="46"/>
      <c r="E458" s="46"/>
      <c r="F458" s="46"/>
    </row>
    <row r="459" spans="4:6" x14ac:dyDescent="0.25">
      <c r="D459" s="46"/>
      <c r="E459" s="46"/>
      <c r="F459" s="46"/>
    </row>
    <row r="460" spans="4:6" x14ac:dyDescent="0.25">
      <c r="D460" s="46"/>
      <c r="E460" s="46"/>
      <c r="F460" s="46"/>
    </row>
    <row r="461" spans="4:6" x14ac:dyDescent="0.25">
      <c r="D461" s="46"/>
      <c r="E461" s="46"/>
      <c r="F461" s="46"/>
    </row>
    <row r="462" spans="4:6" x14ac:dyDescent="0.25">
      <c r="D462" s="46"/>
      <c r="E462" s="46"/>
      <c r="F462" s="46"/>
    </row>
    <row r="463" spans="4:6" x14ac:dyDescent="0.25">
      <c r="D463" s="46"/>
      <c r="E463" s="46"/>
      <c r="F463" s="46"/>
    </row>
    <row r="464" spans="4:6" x14ac:dyDescent="0.25">
      <c r="D464" s="46"/>
      <c r="E464" s="46"/>
      <c r="F464" s="46"/>
    </row>
    <row r="465" spans="4:6" x14ac:dyDescent="0.25">
      <c r="D465" s="46"/>
      <c r="E465" s="46"/>
      <c r="F465" s="46"/>
    </row>
    <row r="466" spans="4:6" x14ac:dyDescent="0.25">
      <c r="D466" s="46"/>
      <c r="E466" s="46"/>
      <c r="F466" s="46"/>
    </row>
    <row r="467" spans="4:6" x14ac:dyDescent="0.25">
      <c r="D467" s="46"/>
      <c r="E467" s="46"/>
      <c r="F467" s="46"/>
    </row>
    <row r="468" spans="4:6" x14ac:dyDescent="0.25">
      <c r="D468" s="46"/>
      <c r="E468" s="46"/>
      <c r="F468" s="46"/>
    </row>
    <row r="469" spans="4:6" x14ac:dyDescent="0.25">
      <c r="D469" s="46"/>
      <c r="E469" s="46"/>
      <c r="F469" s="46"/>
    </row>
    <row r="470" spans="4:6" x14ac:dyDescent="0.25">
      <c r="D470" s="46"/>
      <c r="E470" s="46"/>
      <c r="F470" s="46"/>
    </row>
    <row r="471" spans="4:6" x14ac:dyDescent="0.25">
      <c r="D471" s="46"/>
      <c r="E471" s="46"/>
      <c r="F471" s="46"/>
    </row>
    <row r="472" spans="4:6" x14ac:dyDescent="0.25">
      <c r="D472" s="46"/>
      <c r="E472" s="46"/>
      <c r="F472" s="46"/>
    </row>
    <row r="473" spans="4:6" x14ac:dyDescent="0.25">
      <c r="D473" s="46"/>
      <c r="E473" s="46"/>
      <c r="F473" s="46"/>
    </row>
    <row r="474" spans="4:6" x14ac:dyDescent="0.25">
      <c r="D474" s="46"/>
      <c r="E474" s="46"/>
      <c r="F474" s="46"/>
    </row>
    <row r="475" spans="4:6" x14ac:dyDescent="0.25">
      <c r="D475" s="46"/>
      <c r="E475" s="46"/>
      <c r="F475" s="46"/>
    </row>
    <row r="476" spans="4:6" x14ac:dyDescent="0.25">
      <c r="D476" s="46"/>
      <c r="E476" s="46"/>
      <c r="F476" s="46"/>
    </row>
    <row r="477" spans="4:6" x14ac:dyDescent="0.25">
      <c r="D477" s="46"/>
      <c r="E477" s="46"/>
      <c r="F477" s="46"/>
    </row>
    <row r="478" spans="4:6" x14ac:dyDescent="0.25">
      <c r="D478" s="46"/>
      <c r="E478" s="46"/>
      <c r="F478" s="46"/>
    </row>
    <row r="479" spans="4:6" x14ac:dyDescent="0.25">
      <c r="D479" s="46"/>
      <c r="E479" s="46"/>
      <c r="F479" s="46"/>
    </row>
    <row r="480" spans="4:6" x14ac:dyDescent="0.25">
      <c r="D480" s="46"/>
      <c r="E480" s="46"/>
      <c r="F480" s="46"/>
    </row>
    <row r="481" spans="4:6" x14ac:dyDescent="0.25">
      <c r="D481" s="46"/>
      <c r="E481" s="46"/>
      <c r="F481" s="46"/>
    </row>
    <row r="482" spans="4:6" x14ac:dyDescent="0.25">
      <c r="D482" s="46"/>
      <c r="E482" s="46"/>
      <c r="F482" s="46"/>
    </row>
    <row r="483" spans="4:6" x14ac:dyDescent="0.25">
      <c r="D483" s="46"/>
      <c r="E483" s="46"/>
      <c r="F483" s="46"/>
    </row>
    <row r="484" spans="4:6" x14ac:dyDescent="0.25">
      <c r="D484" s="46"/>
      <c r="E484" s="46"/>
      <c r="F484" s="46"/>
    </row>
    <row r="485" spans="4:6" x14ac:dyDescent="0.25">
      <c r="D485" s="46"/>
      <c r="E485" s="46"/>
      <c r="F485" s="46"/>
    </row>
    <row r="486" spans="4:6" x14ac:dyDescent="0.25">
      <c r="D486" s="46"/>
      <c r="E486" s="46"/>
      <c r="F486" s="46"/>
    </row>
    <row r="487" spans="4:6" x14ac:dyDescent="0.25">
      <c r="D487" s="46"/>
      <c r="E487" s="46"/>
      <c r="F487" s="46"/>
    </row>
    <row r="488" spans="4:6" x14ac:dyDescent="0.25">
      <c r="D488" s="46"/>
      <c r="E488" s="46"/>
      <c r="F488" s="46"/>
    </row>
    <row r="489" spans="4:6" x14ac:dyDescent="0.25">
      <c r="D489" s="46"/>
      <c r="E489" s="46"/>
      <c r="F489" s="46"/>
    </row>
    <row r="490" spans="4:6" x14ac:dyDescent="0.25">
      <c r="D490" s="46"/>
      <c r="E490" s="46"/>
      <c r="F490" s="46"/>
    </row>
    <row r="491" spans="4:6" x14ac:dyDescent="0.25">
      <c r="D491" s="46"/>
      <c r="E491" s="46"/>
      <c r="F491" s="46"/>
    </row>
    <row r="492" spans="4:6" x14ac:dyDescent="0.25">
      <c r="D492" s="46"/>
      <c r="E492" s="46"/>
      <c r="F492" s="46"/>
    </row>
    <row r="493" spans="4:6" x14ac:dyDescent="0.25">
      <c r="D493" s="46"/>
      <c r="E493" s="46"/>
      <c r="F493" s="46"/>
    </row>
    <row r="494" spans="4:6" x14ac:dyDescent="0.25">
      <c r="D494" s="46"/>
      <c r="E494" s="46"/>
      <c r="F494" s="46"/>
    </row>
    <row r="495" spans="4:6" x14ac:dyDescent="0.25">
      <c r="D495" s="46"/>
      <c r="E495" s="46"/>
      <c r="F495" s="46"/>
    </row>
    <row r="496" spans="4:6" x14ac:dyDescent="0.25">
      <c r="D496" s="46"/>
      <c r="E496" s="46"/>
      <c r="F496" s="46"/>
    </row>
    <row r="497" spans="4:6" x14ac:dyDescent="0.25">
      <c r="D497" s="46"/>
      <c r="E497" s="46"/>
      <c r="F497" s="46"/>
    </row>
    <row r="498" spans="4:6" x14ac:dyDescent="0.25">
      <c r="D498" s="46"/>
      <c r="E498" s="46"/>
      <c r="F498" s="46"/>
    </row>
    <row r="499" spans="4:6" x14ac:dyDescent="0.25">
      <c r="D499" s="46"/>
      <c r="E499" s="46"/>
      <c r="F499" s="46"/>
    </row>
    <row r="500" spans="4:6" x14ac:dyDescent="0.25">
      <c r="D500" s="46"/>
      <c r="E500" s="46"/>
      <c r="F500" s="46"/>
    </row>
    <row r="501" spans="4:6" x14ac:dyDescent="0.25">
      <c r="D501" s="46"/>
      <c r="E501" s="46"/>
      <c r="F501" s="46"/>
    </row>
    <row r="502" spans="4:6" x14ac:dyDescent="0.25">
      <c r="D502" s="46"/>
      <c r="E502" s="46"/>
      <c r="F502" s="46"/>
    </row>
    <row r="503" spans="4:6" x14ac:dyDescent="0.25">
      <c r="D503" s="46"/>
      <c r="E503" s="46"/>
      <c r="F503" s="46"/>
    </row>
    <row r="504" spans="4:6" x14ac:dyDescent="0.25">
      <c r="D504" s="46"/>
      <c r="E504" s="46"/>
      <c r="F504" s="46"/>
    </row>
    <row r="505" spans="4:6" x14ac:dyDescent="0.25">
      <c r="D505" s="46"/>
      <c r="E505" s="46"/>
      <c r="F505" s="46"/>
    </row>
    <row r="506" spans="4:6" x14ac:dyDescent="0.25">
      <c r="D506" s="46"/>
      <c r="E506" s="46"/>
      <c r="F506" s="46"/>
    </row>
    <row r="507" spans="4:6" x14ac:dyDescent="0.25">
      <c r="D507" s="46"/>
      <c r="E507" s="46"/>
      <c r="F507" s="46"/>
    </row>
    <row r="508" spans="4:6" x14ac:dyDescent="0.25">
      <c r="D508" s="46"/>
      <c r="E508" s="46"/>
      <c r="F508" s="46"/>
    </row>
    <row r="509" spans="4:6" x14ac:dyDescent="0.25">
      <c r="D509" s="46"/>
      <c r="E509" s="46"/>
      <c r="F509" s="46"/>
    </row>
    <row r="510" spans="4:6" x14ac:dyDescent="0.25">
      <c r="D510" s="46"/>
      <c r="E510" s="46"/>
      <c r="F510" s="46"/>
    </row>
    <row r="511" spans="4:6" x14ac:dyDescent="0.25">
      <c r="D511" s="46"/>
      <c r="E511" s="46"/>
      <c r="F511" s="46"/>
    </row>
    <row r="512" spans="4:6" x14ac:dyDescent="0.25">
      <c r="D512" s="46"/>
      <c r="E512" s="46"/>
      <c r="F512" s="46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201"/>
  <sheetViews>
    <sheetView zoomScale="80" zoomScaleNormal="80" zoomScaleSheetLayoutView="70" workbookViewId="0">
      <pane xSplit="2" ySplit="7" topLeftCell="C560" activePane="bottomRight" state="frozen"/>
      <selection activeCell="D117" sqref="D117"/>
      <selection pane="topRight" activeCell="D117" sqref="D117"/>
      <selection pane="bottomLeft" activeCell="D117" sqref="D117"/>
      <selection pane="bottomRight" activeCell="J562" sqref="J562"/>
    </sheetView>
  </sheetViews>
  <sheetFormatPr defaultColWidth="9.140625" defaultRowHeight="15" x14ac:dyDescent="0.25"/>
  <cols>
    <col min="1" max="1" width="3" style="64" hidden="1" customWidth="1"/>
    <col min="2" max="2" width="47.85546875" style="95" customWidth="1"/>
    <col min="3" max="3" width="11.140625" style="95" customWidth="1"/>
    <col min="4" max="4" width="13.85546875" style="95" customWidth="1"/>
    <col min="5" max="5" width="13.5703125" style="64" customWidth="1"/>
    <col min="6" max="6" width="13" style="64" bestFit="1" customWidth="1"/>
    <col min="7" max="7" width="12.140625" style="64" customWidth="1"/>
    <col min="8" max="8" width="13" style="235" customWidth="1"/>
    <col min="9" max="16384" width="9.140625" style="64"/>
  </cols>
  <sheetData>
    <row r="1" spans="1:9" s="232" customFormat="1" ht="126" hidden="1" x14ac:dyDescent="0.25">
      <c r="B1" s="66"/>
      <c r="C1" s="67"/>
      <c r="D1" s="67"/>
      <c r="F1" s="233" t="s">
        <v>284</v>
      </c>
      <c r="H1" s="234"/>
    </row>
    <row r="2" spans="1:9" s="232" customFormat="1" ht="14.25" customHeight="1" x14ac:dyDescent="0.25">
      <c r="B2" s="696" t="s">
        <v>293</v>
      </c>
      <c r="C2" s="697"/>
      <c r="D2" s="697"/>
      <c r="E2" s="697"/>
      <c r="F2" s="697"/>
      <c r="G2" s="697"/>
      <c r="H2" s="234"/>
    </row>
    <row r="3" spans="1:9" ht="27" customHeight="1" thickBot="1" x14ac:dyDescent="0.3">
      <c r="B3" s="698"/>
      <c r="C3" s="698"/>
      <c r="D3" s="698"/>
      <c r="E3" s="698"/>
      <c r="F3" s="698"/>
      <c r="G3" s="698"/>
    </row>
    <row r="4" spans="1:9" ht="34.5" customHeight="1" x14ac:dyDescent="0.3">
      <c r="B4" s="8" t="s">
        <v>175</v>
      </c>
      <c r="C4" s="687" t="s">
        <v>1</v>
      </c>
      <c r="D4" s="699" t="s">
        <v>256</v>
      </c>
      <c r="E4" s="693" t="s">
        <v>0</v>
      </c>
      <c r="F4" s="687" t="s">
        <v>2</v>
      </c>
      <c r="G4" s="690" t="s">
        <v>204</v>
      </c>
    </row>
    <row r="5" spans="1:9" ht="15.75" customHeight="1" x14ac:dyDescent="0.3">
      <c r="B5" s="9"/>
      <c r="C5" s="688"/>
      <c r="D5" s="700"/>
      <c r="E5" s="694"/>
      <c r="F5" s="688"/>
      <c r="G5" s="691"/>
    </row>
    <row r="6" spans="1:9" ht="24" customHeight="1" thickBot="1" x14ac:dyDescent="0.3">
      <c r="B6" s="10" t="s">
        <v>3</v>
      </c>
      <c r="C6" s="689"/>
      <c r="D6" s="701"/>
      <c r="E6" s="695"/>
      <c r="F6" s="689"/>
      <c r="G6" s="692"/>
      <c r="H6" s="236"/>
      <c r="I6" s="237"/>
    </row>
    <row r="7" spans="1:9" s="6" customFormat="1" ht="15.75" thickBot="1" x14ac:dyDescent="0.3">
      <c r="B7" s="11">
        <v>1</v>
      </c>
      <c r="C7" s="12">
        <v>2</v>
      </c>
      <c r="D7" s="12">
        <v>3</v>
      </c>
      <c r="E7" s="238">
        <v>4</v>
      </c>
      <c r="F7" s="238">
        <v>5</v>
      </c>
      <c r="G7" s="238">
        <v>6</v>
      </c>
      <c r="H7" s="239"/>
    </row>
    <row r="8" spans="1:9" s="68" customFormat="1" hidden="1" x14ac:dyDescent="0.25">
      <c r="A8" s="68">
        <v>1</v>
      </c>
      <c r="B8" s="668"/>
      <c r="C8" s="240"/>
      <c r="D8" s="240"/>
      <c r="E8" s="201"/>
      <c r="F8" s="201"/>
      <c r="G8" s="201"/>
      <c r="H8" s="241"/>
    </row>
    <row r="9" spans="1:9" s="68" customFormat="1" hidden="1" x14ac:dyDescent="0.25">
      <c r="A9" s="68">
        <v>1</v>
      </c>
      <c r="B9" s="242" t="s">
        <v>182</v>
      </c>
      <c r="C9" s="2"/>
      <c r="D9" s="243"/>
      <c r="E9" s="3"/>
      <c r="F9" s="3"/>
      <c r="G9" s="3"/>
      <c r="H9" s="241"/>
    </row>
    <row r="10" spans="1:9" s="68" customFormat="1" hidden="1" x14ac:dyDescent="0.25">
      <c r="A10" s="68">
        <v>1</v>
      </c>
      <c r="B10" s="69" t="s">
        <v>4</v>
      </c>
      <c r="C10" s="2"/>
      <c r="D10" s="243"/>
      <c r="E10" s="3"/>
      <c r="F10" s="3"/>
      <c r="G10" s="3"/>
      <c r="H10" s="241"/>
    </row>
    <row r="11" spans="1:9" s="68" customFormat="1" hidden="1" x14ac:dyDescent="0.25">
      <c r="A11" s="68">
        <v>1</v>
      </c>
      <c r="B11" s="59" t="s">
        <v>8</v>
      </c>
      <c r="C11" s="2">
        <v>340</v>
      </c>
      <c r="D11" s="3">
        <v>3140</v>
      </c>
      <c r="E11" s="60">
        <v>6.8</v>
      </c>
      <c r="F11" s="3">
        <f>ROUND(G11/C11,0)</f>
        <v>63</v>
      </c>
      <c r="G11" s="3">
        <f>ROUND(D11*E11,0)</f>
        <v>21352</v>
      </c>
      <c r="H11" s="241"/>
    </row>
    <row r="12" spans="1:9" s="68" customFormat="1" hidden="1" x14ac:dyDescent="0.25">
      <c r="A12" s="68">
        <v>1</v>
      </c>
      <c r="B12" s="1" t="s">
        <v>103</v>
      </c>
      <c r="C12" s="2">
        <v>340</v>
      </c>
      <c r="D12" s="3">
        <v>1506</v>
      </c>
      <c r="E12" s="60">
        <v>6.7</v>
      </c>
      <c r="F12" s="3">
        <f>ROUND(G12/C12,0)</f>
        <v>30</v>
      </c>
      <c r="G12" s="3">
        <f>ROUND(D12*E12,0)</f>
        <v>10090</v>
      </c>
      <c r="H12" s="241"/>
    </row>
    <row r="13" spans="1:9" hidden="1" x14ac:dyDescent="0.25">
      <c r="A13" s="68">
        <v>1</v>
      </c>
      <c r="B13" s="54" t="s">
        <v>5</v>
      </c>
      <c r="C13" s="22"/>
      <c r="D13" s="18">
        <f>SUM(D11:D12)</f>
        <v>4646</v>
      </c>
      <c r="E13" s="17">
        <f>G13/D13</f>
        <v>6.7675419715884635</v>
      </c>
      <c r="F13" s="18">
        <f>SUM(F11:F12)</f>
        <v>93</v>
      </c>
      <c r="G13" s="18">
        <f>SUM(G11:G12)</f>
        <v>31442</v>
      </c>
    </row>
    <row r="14" spans="1:9" hidden="1" x14ac:dyDescent="0.25">
      <c r="A14" s="68">
        <v>1</v>
      </c>
      <c r="B14" s="21" t="s">
        <v>6</v>
      </c>
      <c r="C14" s="244"/>
      <c r="D14" s="245"/>
      <c r="E14" s="246"/>
      <c r="F14" s="202"/>
      <c r="G14" s="245"/>
    </row>
    <row r="15" spans="1:9" ht="30" hidden="1" x14ac:dyDescent="0.25">
      <c r="A15" s="68">
        <v>1</v>
      </c>
      <c r="B15" s="23" t="s">
        <v>322</v>
      </c>
      <c r="C15" s="244"/>
      <c r="D15" s="245"/>
      <c r="E15" s="246"/>
      <c r="F15" s="202"/>
      <c r="G15" s="245"/>
    </row>
    <row r="16" spans="1:9" hidden="1" x14ac:dyDescent="0.25">
      <c r="A16" s="68">
        <v>1</v>
      </c>
      <c r="B16" s="24" t="s">
        <v>118</v>
      </c>
      <c r="C16" s="244"/>
      <c r="D16" s="245"/>
      <c r="E16" s="246"/>
      <c r="F16" s="202"/>
      <c r="G16" s="245"/>
    </row>
    <row r="17" spans="1:7" ht="45" hidden="1" x14ac:dyDescent="0.25">
      <c r="A17" s="68">
        <v>1</v>
      </c>
      <c r="B17" s="24" t="s">
        <v>320</v>
      </c>
      <c r="C17" s="244"/>
      <c r="D17" s="247">
        <v>6000</v>
      </c>
      <c r="E17" s="246"/>
      <c r="F17" s="202"/>
      <c r="G17" s="245"/>
    </row>
    <row r="18" spans="1:7" hidden="1" x14ac:dyDescent="0.25">
      <c r="A18" s="68">
        <v>1</v>
      </c>
      <c r="B18" s="212" t="s">
        <v>151</v>
      </c>
      <c r="C18" s="244"/>
      <c r="D18" s="248">
        <f>D17</f>
        <v>6000</v>
      </c>
      <c r="E18" s="246"/>
      <c r="F18" s="202"/>
      <c r="G18" s="245"/>
    </row>
    <row r="19" spans="1:7" hidden="1" x14ac:dyDescent="0.25">
      <c r="A19" s="68">
        <v>1</v>
      </c>
      <c r="B19" s="34" t="s">
        <v>7</v>
      </c>
      <c r="C19" s="70"/>
      <c r="D19" s="249"/>
      <c r="E19" s="249"/>
      <c r="F19" s="249"/>
      <c r="G19" s="249"/>
    </row>
    <row r="20" spans="1:7" hidden="1" x14ac:dyDescent="0.25">
      <c r="A20" s="68">
        <v>1</v>
      </c>
      <c r="B20" s="43" t="s">
        <v>139</v>
      </c>
      <c r="C20" s="70"/>
      <c r="D20" s="249"/>
      <c r="E20" s="249"/>
      <c r="F20" s="249"/>
      <c r="G20" s="249"/>
    </row>
    <row r="21" spans="1:7" hidden="1" x14ac:dyDescent="0.25">
      <c r="A21" s="68">
        <v>1</v>
      </c>
      <c r="B21" s="71" t="s">
        <v>8</v>
      </c>
      <c r="C21" s="70">
        <v>300</v>
      </c>
      <c r="D21" s="249">
        <f>710+21</f>
        <v>731</v>
      </c>
      <c r="E21" s="72">
        <v>7</v>
      </c>
      <c r="F21" s="249">
        <f>ROUND(G21/C21,0)</f>
        <v>17</v>
      </c>
      <c r="G21" s="3">
        <f>ROUND(D21*E21,0)</f>
        <v>5117</v>
      </c>
    </row>
    <row r="22" spans="1:7" hidden="1" x14ac:dyDescent="0.25">
      <c r="A22" s="68">
        <v>1</v>
      </c>
      <c r="B22" s="71" t="s">
        <v>103</v>
      </c>
      <c r="C22" s="70">
        <v>300</v>
      </c>
      <c r="D22" s="249">
        <f>460-36</f>
        <v>424</v>
      </c>
      <c r="E22" s="72">
        <v>7</v>
      </c>
      <c r="F22" s="249">
        <f>ROUND(G22/C22,0)</f>
        <v>10</v>
      </c>
      <c r="G22" s="3">
        <f>ROUND(D22*E22,0)</f>
        <v>2968</v>
      </c>
    </row>
    <row r="23" spans="1:7" hidden="1" x14ac:dyDescent="0.25">
      <c r="A23" s="68">
        <v>1</v>
      </c>
      <c r="B23" s="250" t="s">
        <v>9</v>
      </c>
      <c r="C23" s="70"/>
      <c r="D23" s="251">
        <f>D21+D22</f>
        <v>1155</v>
      </c>
      <c r="E23" s="17">
        <f t="shared" ref="E23:E24" si="0">G23/D23</f>
        <v>7</v>
      </c>
      <c r="F23" s="251">
        <f>F21+F22</f>
        <v>27</v>
      </c>
      <c r="G23" s="251">
        <f>G21+G22</f>
        <v>8085</v>
      </c>
    </row>
    <row r="24" spans="1:7" ht="16.5" hidden="1" customHeight="1" x14ac:dyDescent="0.25">
      <c r="A24" s="68">
        <v>1</v>
      </c>
      <c r="B24" s="73" t="s">
        <v>117</v>
      </c>
      <c r="C24" s="252"/>
      <c r="D24" s="251">
        <f>D23</f>
        <v>1155</v>
      </c>
      <c r="E24" s="17">
        <f t="shared" si="0"/>
        <v>7</v>
      </c>
      <c r="F24" s="251">
        <f t="shared" ref="F24:G24" si="1">F23</f>
        <v>27</v>
      </c>
      <c r="G24" s="251">
        <f t="shared" si="1"/>
        <v>8085</v>
      </c>
    </row>
    <row r="25" spans="1:7" ht="15.75" hidden="1" thickBot="1" x14ac:dyDescent="0.3">
      <c r="A25" s="68">
        <v>1</v>
      </c>
      <c r="B25" s="253" t="s">
        <v>10</v>
      </c>
      <c r="C25" s="254"/>
      <c r="D25" s="255"/>
      <c r="E25" s="255"/>
      <c r="F25" s="255"/>
      <c r="G25" s="255"/>
    </row>
    <row r="26" spans="1:7" ht="13.5" hidden="1" customHeight="1" x14ac:dyDescent="0.25">
      <c r="A26" s="68">
        <v>1</v>
      </c>
      <c r="B26" s="256"/>
      <c r="C26" s="257"/>
      <c r="D26" s="258"/>
      <c r="E26" s="258"/>
      <c r="F26" s="258"/>
      <c r="G26" s="258"/>
    </row>
    <row r="27" spans="1:7" ht="32.25" customHeight="1" x14ac:dyDescent="0.25">
      <c r="A27" s="68">
        <v>1</v>
      </c>
      <c r="B27" s="62" t="s">
        <v>95</v>
      </c>
      <c r="C27" s="2"/>
      <c r="D27" s="3"/>
      <c r="E27" s="3"/>
      <c r="F27" s="3"/>
      <c r="G27" s="3"/>
    </row>
    <row r="28" spans="1:7" x14ac:dyDescent="0.25">
      <c r="A28" s="68">
        <v>1</v>
      </c>
      <c r="B28" s="69" t="s">
        <v>4</v>
      </c>
      <c r="C28" s="2"/>
      <c r="D28" s="3"/>
      <c r="E28" s="3"/>
      <c r="F28" s="3"/>
      <c r="G28" s="3"/>
    </row>
    <row r="29" spans="1:7" x14ac:dyDescent="0.25">
      <c r="A29" s="68">
        <v>1</v>
      </c>
      <c r="B29" s="59" t="s">
        <v>21</v>
      </c>
      <c r="C29" s="2">
        <v>340</v>
      </c>
      <c r="D29" s="3">
        <v>1657</v>
      </c>
      <c r="E29" s="60">
        <v>11</v>
      </c>
      <c r="F29" s="3">
        <f t="shared" ref="F29:F37" si="2">ROUND(G29/C29,0)</f>
        <v>54</v>
      </c>
      <c r="G29" s="3">
        <f t="shared" ref="G29:G37" si="3">ROUND(D29*E29,0)</f>
        <v>18227</v>
      </c>
    </row>
    <row r="30" spans="1:7" x14ac:dyDescent="0.25">
      <c r="A30" s="68">
        <v>1</v>
      </c>
      <c r="B30" s="59" t="s">
        <v>11</v>
      </c>
      <c r="C30" s="2">
        <v>340</v>
      </c>
      <c r="D30" s="3">
        <f>1600-20</f>
        <v>1580</v>
      </c>
      <c r="E30" s="60">
        <v>9.1</v>
      </c>
      <c r="F30" s="3">
        <f t="shared" si="2"/>
        <v>42</v>
      </c>
      <c r="G30" s="3">
        <f t="shared" si="3"/>
        <v>14378</v>
      </c>
    </row>
    <row r="31" spans="1:7" x14ac:dyDescent="0.25">
      <c r="A31" s="68">
        <v>1</v>
      </c>
      <c r="B31" s="59" t="s">
        <v>27</v>
      </c>
      <c r="C31" s="2">
        <v>270</v>
      </c>
      <c r="D31" s="3">
        <v>1756</v>
      </c>
      <c r="E31" s="60">
        <v>7.5</v>
      </c>
      <c r="F31" s="3">
        <f t="shared" si="2"/>
        <v>49</v>
      </c>
      <c r="G31" s="3">
        <f t="shared" si="3"/>
        <v>13170</v>
      </c>
    </row>
    <row r="32" spans="1:7" x14ac:dyDescent="0.25">
      <c r="A32" s="68">
        <v>1</v>
      </c>
      <c r="B32" s="59" t="s">
        <v>12</v>
      </c>
      <c r="C32" s="2">
        <v>340</v>
      </c>
      <c r="D32" s="3">
        <f>1938+14</f>
        <v>1952</v>
      </c>
      <c r="E32" s="60">
        <v>10</v>
      </c>
      <c r="F32" s="3">
        <f t="shared" si="2"/>
        <v>57</v>
      </c>
      <c r="G32" s="3">
        <f t="shared" si="3"/>
        <v>19520</v>
      </c>
    </row>
    <row r="33" spans="1:9" x14ac:dyDescent="0.25">
      <c r="A33" s="68">
        <v>1</v>
      </c>
      <c r="B33" s="59" t="s">
        <v>23</v>
      </c>
      <c r="C33" s="2">
        <v>340</v>
      </c>
      <c r="D33" s="3">
        <f>2406-4</f>
        <v>2402</v>
      </c>
      <c r="E33" s="60">
        <v>6.5</v>
      </c>
      <c r="F33" s="3">
        <f t="shared" si="2"/>
        <v>46</v>
      </c>
      <c r="G33" s="3">
        <f t="shared" si="3"/>
        <v>15613</v>
      </c>
    </row>
    <row r="34" spans="1:9" x14ac:dyDescent="0.25">
      <c r="A34" s="68">
        <v>1</v>
      </c>
      <c r="B34" s="59" t="s">
        <v>101</v>
      </c>
      <c r="C34" s="2">
        <v>340</v>
      </c>
      <c r="D34" s="3">
        <f>2696+32</f>
        <v>2728</v>
      </c>
      <c r="E34" s="60">
        <v>10</v>
      </c>
      <c r="F34" s="3">
        <f t="shared" si="2"/>
        <v>80</v>
      </c>
      <c r="G34" s="3">
        <f t="shared" si="3"/>
        <v>27280</v>
      </c>
    </row>
    <row r="35" spans="1:9" x14ac:dyDescent="0.25">
      <c r="A35" s="68">
        <v>1</v>
      </c>
      <c r="B35" s="59" t="s">
        <v>13</v>
      </c>
      <c r="C35" s="2">
        <v>340</v>
      </c>
      <c r="D35" s="3">
        <v>1030</v>
      </c>
      <c r="E35" s="60">
        <v>10.6</v>
      </c>
      <c r="F35" s="3">
        <f t="shared" si="2"/>
        <v>32</v>
      </c>
      <c r="G35" s="3">
        <f t="shared" si="3"/>
        <v>10918</v>
      </c>
    </row>
    <row r="36" spans="1:9" x14ac:dyDescent="0.25">
      <c r="A36" s="68">
        <v>1</v>
      </c>
      <c r="B36" s="59" t="s">
        <v>14</v>
      </c>
      <c r="C36" s="2">
        <v>340</v>
      </c>
      <c r="D36" s="3">
        <v>730</v>
      </c>
      <c r="E36" s="60">
        <v>12.8</v>
      </c>
      <c r="F36" s="3">
        <f t="shared" si="2"/>
        <v>27</v>
      </c>
      <c r="G36" s="3">
        <f t="shared" si="3"/>
        <v>9344</v>
      </c>
    </row>
    <row r="37" spans="1:9" x14ac:dyDescent="0.25">
      <c r="A37" s="68">
        <v>1</v>
      </c>
      <c r="B37" s="59" t="s">
        <v>15</v>
      </c>
      <c r="C37" s="2">
        <v>340</v>
      </c>
      <c r="D37" s="3">
        <v>918</v>
      </c>
      <c r="E37" s="60">
        <v>5</v>
      </c>
      <c r="F37" s="3">
        <f t="shared" si="2"/>
        <v>14</v>
      </c>
      <c r="G37" s="3">
        <f t="shared" si="3"/>
        <v>4590</v>
      </c>
    </row>
    <row r="38" spans="1:9" x14ac:dyDescent="0.25">
      <c r="A38" s="68">
        <v>1</v>
      </c>
      <c r="B38" s="54" t="s">
        <v>5</v>
      </c>
      <c r="C38" s="2"/>
      <c r="D38" s="18">
        <f>SUM(D29:D37)</f>
        <v>14753</v>
      </c>
      <c r="E38" s="17">
        <f>G38/D38</f>
        <v>9.0178268826679311</v>
      </c>
      <c r="F38" s="18">
        <f>SUM(F29:F37)</f>
        <v>401</v>
      </c>
      <c r="G38" s="259">
        <f>SUM(G29:G37)</f>
        <v>133040</v>
      </c>
      <c r="I38" s="260"/>
    </row>
    <row r="39" spans="1:9" s="46" customFormat="1" ht="18.75" customHeight="1" x14ac:dyDescent="0.25">
      <c r="A39" s="68">
        <v>1</v>
      </c>
      <c r="B39" s="21" t="s">
        <v>205</v>
      </c>
      <c r="C39" s="21"/>
      <c r="D39" s="74"/>
      <c r="E39" s="45"/>
      <c r="F39" s="45"/>
      <c r="G39" s="45"/>
      <c r="H39" s="261"/>
    </row>
    <row r="40" spans="1:9" s="46" customFormat="1" ht="30" x14ac:dyDescent="0.25">
      <c r="A40" s="68">
        <v>1</v>
      </c>
      <c r="B40" s="23" t="s">
        <v>322</v>
      </c>
      <c r="C40" s="47"/>
      <c r="D40" s="45">
        <f>SUM(D41,D42,D43,D44)</f>
        <v>60245</v>
      </c>
      <c r="E40" s="45"/>
      <c r="F40" s="45"/>
      <c r="G40" s="45"/>
      <c r="H40" s="261"/>
    </row>
    <row r="41" spans="1:9" s="46" customFormat="1" x14ac:dyDescent="0.25">
      <c r="A41" s="68">
        <v>1</v>
      </c>
      <c r="B41" s="48" t="s">
        <v>206</v>
      </c>
      <c r="C41" s="47"/>
      <c r="D41" s="45"/>
      <c r="E41" s="45"/>
      <c r="F41" s="45"/>
      <c r="G41" s="45"/>
      <c r="H41" s="261"/>
    </row>
    <row r="42" spans="1:9" s="46" customFormat="1" ht="34.5" customHeight="1" x14ac:dyDescent="0.25">
      <c r="A42" s="68">
        <v>1</v>
      </c>
      <c r="B42" s="48" t="s">
        <v>207</v>
      </c>
      <c r="C42" s="47"/>
      <c r="D42" s="3">
        <v>20000</v>
      </c>
      <c r="E42" s="45"/>
      <c r="F42" s="45"/>
      <c r="G42" s="45"/>
      <c r="H42" s="261"/>
    </row>
    <row r="43" spans="1:9" s="46" customFormat="1" ht="30" x14ac:dyDescent="0.25">
      <c r="A43" s="68">
        <v>1</v>
      </c>
      <c r="B43" s="48" t="s">
        <v>208</v>
      </c>
      <c r="C43" s="47"/>
      <c r="D43" s="3"/>
      <c r="E43" s="45"/>
      <c r="F43" s="45"/>
      <c r="G43" s="45"/>
      <c r="H43" s="261"/>
    </row>
    <row r="44" spans="1:9" s="46" customFormat="1" x14ac:dyDescent="0.25">
      <c r="A44" s="68">
        <v>1</v>
      </c>
      <c r="B44" s="23" t="s">
        <v>209</v>
      </c>
      <c r="C44" s="47"/>
      <c r="D44" s="3">
        <v>40245</v>
      </c>
      <c r="E44" s="45"/>
      <c r="F44" s="45"/>
      <c r="G44" s="45"/>
      <c r="H44" s="261"/>
    </row>
    <row r="45" spans="1:9" s="46" customFormat="1" ht="45" x14ac:dyDescent="0.25">
      <c r="A45" s="68">
        <v>1</v>
      </c>
      <c r="B45" s="23" t="s">
        <v>285</v>
      </c>
      <c r="C45" s="47"/>
      <c r="D45" s="13">
        <v>572</v>
      </c>
      <c r="E45" s="45"/>
      <c r="F45" s="45"/>
      <c r="G45" s="45"/>
      <c r="H45" s="261"/>
    </row>
    <row r="46" spans="1:9" x14ac:dyDescent="0.25">
      <c r="A46" s="68">
        <v>1</v>
      </c>
      <c r="B46" s="24" t="s">
        <v>118</v>
      </c>
      <c r="C46" s="22"/>
      <c r="D46" s="13">
        <v>61900</v>
      </c>
      <c r="E46" s="3"/>
      <c r="F46" s="3"/>
      <c r="G46" s="3"/>
    </row>
    <row r="47" spans="1:9" s="46" customFormat="1" x14ac:dyDescent="0.25">
      <c r="A47" s="68">
        <v>1</v>
      </c>
      <c r="B47" s="44" t="s">
        <v>150</v>
      </c>
      <c r="C47" s="262"/>
      <c r="D47" s="3"/>
      <c r="E47" s="45"/>
      <c r="F47" s="45"/>
      <c r="G47" s="45"/>
      <c r="H47" s="261"/>
    </row>
    <row r="48" spans="1:9" s="46" customFormat="1" ht="15.75" customHeight="1" x14ac:dyDescent="0.25">
      <c r="A48" s="68">
        <v>1</v>
      </c>
      <c r="B48" s="49" t="s">
        <v>210</v>
      </c>
      <c r="C48" s="50"/>
      <c r="D48" s="47">
        <f>D40+ROUND(D46*3.2,0)</f>
        <v>258325</v>
      </c>
      <c r="E48" s="51"/>
      <c r="F48" s="51"/>
      <c r="G48" s="56"/>
      <c r="H48" s="261"/>
    </row>
    <row r="49" spans="1:8" s="46" customFormat="1" ht="15.75" customHeight="1" x14ac:dyDescent="0.25">
      <c r="A49" s="68">
        <v>1</v>
      </c>
      <c r="B49" s="21" t="s">
        <v>153</v>
      </c>
      <c r="C49" s="22"/>
      <c r="D49" s="3"/>
      <c r="E49" s="51"/>
      <c r="F49" s="51"/>
      <c r="G49" s="56"/>
      <c r="H49" s="261"/>
    </row>
    <row r="50" spans="1:8" s="46" customFormat="1" ht="30" x14ac:dyDescent="0.25">
      <c r="A50" s="68">
        <v>1</v>
      </c>
      <c r="B50" s="23" t="s">
        <v>322</v>
      </c>
      <c r="C50" s="22"/>
      <c r="D50" s="3">
        <f>SUM(D51,D52,D59,D65,D66,D67)</f>
        <v>32181.8</v>
      </c>
      <c r="E50" s="51"/>
      <c r="F50" s="51"/>
      <c r="G50" s="56"/>
      <c r="H50" s="261"/>
    </row>
    <row r="51" spans="1:8" s="46" customFormat="1" ht="15.75" customHeight="1" x14ac:dyDescent="0.25">
      <c r="A51" s="68">
        <v>1</v>
      </c>
      <c r="B51" s="23" t="s">
        <v>206</v>
      </c>
      <c r="C51" s="22"/>
      <c r="D51" s="3"/>
      <c r="E51" s="51"/>
      <c r="F51" s="51"/>
      <c r="G51" s="56"/>
      <c r="H51" s="261"/>
    </row>
    <row r="52" spans="1:8" s="46" customFormat="1" ht="36.75" customHeight="1" x14ac:dyDescent="0.25">
      <c r="A52" s="68">
        <v>1</v>
      </c>
      <c r="B52" s="48" t="s">
        <v>211</v>
      </c>
      <c r="C52" s="22"/>
      <c r="D52" s="3">
        <f>D53+D54+D55+D57</f>
        <v>15506.8</v>
      </c>
      <c r="E52" s="51"/>
      <c r="F52" s="51"/>
      <c r="G52" s="56"/>
      <c r="H52" s="261"/>
    </row>
    <row r="53" spans="1:8" s="46" customFormat="1" ht="27" customHeight="1" x14ac:dyDescent="0.25">
      <c r="A53" s="68">
        <v>1</v>
      </c>
      <c r="B53" s="52" t="s">
        <v>212</v>
      </c>
      <c r="C53" s="22"/>
      <c r="D53" s="45">
        <v>10681</v>
      </c>
      <c r="E53" s="51"/>
      <c r="F53" s="51"/>
      <c r="G53" s="56"/>
      <c r="H53" s="261"/>
    </row>
    <row r="54" spans="1:8" s="46" customFormat="1" ht="18.75" customHeight="1" x14ac:dyDescent="0.25">
      <c r="A54" s="68">
        <v>1</v>
      </c>
      <c r="B54" s="52" t="s">
        <v>213</v>
      </c>
      <c r="C54" s="22"/>
      <c r="D54" s="45">
        <v>4825.8</v>
      </c>
      <c r="E54" s="51"/>
      <c r="F54" s="51"/>
      <c r="G54" s="56"/>
      <c r="H54" s="261"/>
    </row>
    <row r="55" spans="1:8" s="46" customFormat="1" ht="30.75" customHeight="1" x14ac:dyDescent="0.25">
      <c r="A55" s="68">
        <v>1</v>
      </c>
      <c r="B55" s="52" t="s">
        <v>214</v>
      </c>
      <c r="C55" s="22"/>
      <c r="D55" s="45"/>
      <c r="E55" s="51"/>
      <c r="F55" s="51"/>
      <c r="G55" s="56"/>
      <c r="H55" s="261"/>
    </row>
    <row r="56" spans="1:8" s="46" customFormat="1" x14ac:dyDescent="0.25">
      <c r="A56" s="68">
        <v>1</v>
      </c>
      <c r="B56" s="52" t="s">
        <v>215</v>
      </c>
      <c r="C56" s="22"/>
      <c r="D56" s="45"/>
      <c r="E56" s="51"/>
      <c r="F56" s="51"/>
      <c r="G56" s="56"/>
      <c r="H56" s="261"/>
    </row>
    <row r="57" spans="1:8" s="46" customFormat="1" ht="30" x14ac:dyDescent="0.25">
      <c r="A57" s="68">
        <v>1</v>
      </c>
      <c r="B57" s="52" t="s">
        <v>216</v>
      </c>
      <c r="C57" s="22"/>
      <c r="D57" s="45"/>
      <c r="E57" s="51"/>
      <c r="F57" s="51"/>
      <c r="G57" s="56"/>
      <c r="H57" s="261"/>
    </row>
    <row r="58" spans="1:8" s="46" customFormat="1" x14ac:dyDescent="0.25">
      <c r="A58" s="68">
        <v>1</v>
      </c>
      <c r="B58" s="52" t="s">
        <v>215</v>
      </c>
      <c r="C58" s="22"/>
      <c r="D58" s="76"/>
      <c r="E58" s="51"/>
      <c r="F58" s="51"/>
      <c r="G58" s="56"/>
      <c r="H58" s="261"/>
    </row>
    <row r="59" spans="1:8" s="46" customFormat="1" ht="30" customHeight="1" x14ac:dyDescent="0.25">
      <c r="A59" s="68">
        <v>1</v>
      </c>
      <c r="B59" s="48" t="s">
        <v>217</v>
      </c>
      <c r="C59" s="22"/>
      <c r="D59" s="3">
        <f>SUM(D60,D61,D63)</f>
        <v>13875</v>
      </c>
      <c r="E59" s="51"/>
      <c r="F59" s="51"/>
      <c r="G59" s="56"/>
      <c r="H59" s="261"/>
    </row>
    <row r="60" spans="1:8" s="46" customFormat="1" ht="30" x14ac:dyDescent="0.25">
      <c r="A60" s="68">
        <v>1</v>
      </c>
      <c r="B60" s="52" t="s">
        <v>218</v>
      </c>
      <c r="C60" s="22"/>
      <c r="D60" s="3">
        <v>13875</v>
      </c>
      <c r="E60" s="51"/>
      <c r="F60" s="51"/>
      <c r="G60" s="56"/>
      <c r="H60" s="261"/>
    </row>
    <row r="61" spans="1:8" s="46" customFormat="1" ht="45" x14ac:dyDescent="0.25">
      <c r="A61" s="68">
        <v>1</v>
      </c>
      <c r="B61" s="52" t="s">
        <v>219</v>
      </c>
      <c r="C61" s="22"/>
      <c r="D61" s="42"/>
      <c r="E61" s="51"/>
      <c r="F61" s="51"/>
      <c r="G61" s="56"/>
      <c r="H61" s="261"/>
    </row>
    <row r="62" spans="1:8" s="46" customFormat="1" x14ac:dyDescent="0.25">
      <c r="A62" s="68">
        <v>1</v>
      </c>
      <c r="B62" s="52" t="s">
        <v>215</v>
      </c>
      <c r="C62" s="22"/>
      <c r="D62" s="42"/>
      <c r="E62" s="51"/>
      <c r="F62" s="51"/>
      <c r="G62" s="56"/>
      <c r="H62" s="261"/>
    </row>
    <row r="63" spans="1:8" s="46" customFormat="1" ht="45" x14ac:dyDescent="0.25">
      <c r="A63" s="68">
        <v>1</v>
      </c>
      <c r="B63" s="52" t="s">
        <v>220</v>
      </c>
      <c r="C63" s="22"/>
      <c r="D63" s="42"/>
      <c r="E63" s="51"/>
      <c r="F63" s="51"/>
      <c r="G63" s="56"/>
      <c r="H63" s="261"/>
    </row>
    <row r="64" spans="1:8" s="46" customFormat="1" x14ac:dyDescent="0.25">
      <c r="A64" s="68">
        <v>1</v>
      </c>
      <c r="B64" s="52" t="s">
        <v>215</v>
      </c>
      <c r="C64" s="22"/>
      <c r="D64" s="42"/>
      <c r="E64" s="51"/>
      <c r="F64" s="51"/>
      <c r="G64" s="56"/>
      <c r="H64" s="261"/>
    </row>
    <row r="65" spans="1:10" s="46" customFormat="1" ht="31.5" customHeight="1" x14ac:dyDescent="0.25">
      <c r="A65" s="68">
        <v>1</v>
      </c>
      <c r="B65" s="48" t="s">
        <v>221</v>
      </c>
      <c r="C65" s="22"/>
      <c r="D65" s="3"/>
      <c r="E65" s="51"/>
      <c r="F65" s="51"/>
      <c r="G65" s="56"/>
      <c r="H65" s="261"/>
    </row>
    <row r="66" spans="1:10" s="46" customFormat="1" ht="15.75" customHeight="1" x14ac:dyDescent="0.25">
      <c r="A66" s="68">
        <v>1</v>
      </c>
      <c r="B66" s="48" t="s">
        <v>222</v>
      </c>
      <c r="C66" s="22"/>
      <c r="D66" s="3"/>
      <c r="E66" s="51"/>
      <c r="F66" s="51"/>
      <c r="G66" s="56"/>
      <c r="H66" s="261"/>
    </row>
    <row r="67" spans="1:10" s="46" customFormat="1" ht="15.75" customHeight="1" x14ac:dyDescent="0.25">
      <c r="A67" s="68">
        <v>1</v>
      </c>
      <c r="B67" s="23" t="s">
        <v>223</v>
      </c>
      <c r="C67" s="22"/>
      <c r="D67" s="3">
        <v>2800</v>
      </c>
      <c r="E67" s="51"/>
      <c r="F67" s="51"/>
      <c r="G67" s="56"/>
      <c r="H67" s="261"/>
    </row>
    <row r="68" spans="1:10" s="46" customFormat="1" x14ac:dyDescent="0.25">
      <c r="A68" s="68">
        <v>1</v>
      </c>
      <c r="B68" s="24" t="s">
        <v>118</v>
      </c>
      <c r="C68" s="47"/>
      <c r="D68" s="45">
        <v>100</v>
      </c>
      <c r="E68" s="51"/>
      <c r="F68" s="51"/>
      <c r="G68" s="56"/>
      <c r="H68" s="261"/>
    </row>
    <row r="69" spans="1:10" s="46" customFormat="1" x14ac:dyDescent="0.25">
      <c r="A69" s="68">
        <v>1</v>
      </c>
      <c r="B69" s="44" t="s">
        <v>150</v>
      </c>
      <c r="C69" s="47"/>
      <c r="D69" s="76"/>
      <c r="E69" s="51"/>
      <c r="F69" s="51"/>
      <c r="G69" s="56"/>
      <c r="H69" s="261"/>
    </row>
    <row r="70" spans="1:10" ht="30" x14ac:dyDescent="0.25">
      <c r="A70" s="68">
        <v>1</v>
      </c>
      <c r="B70" s="24" t="s">
        <v>119</v>
      </c>
      <c r="C70" s="22"/>
      <c r="D70" s="3">
        <v>22500</v>
      </c>
      <c r="E70" s="3"/>
      <c r="F70" s="3"/>
      <c r="G70" s="3"/>
    </row>
    <row r="71" spans="1:10" x14ac:dyDescent="0.25">
      <c r="A71" s="68">
        <v>1</v>
      </c>
      <c r="B71" s="24" t="s">
        <v>224</v>
      </c>
      <c r="C71" s="22"/>
      <c r="D71" s="3">
        <v>15075</v>
      </c>
      <c r="E71" s="3"/>
      <c r="F71" s="3"/>
      <c r="G71" s="3"/>
    </row>
    <row r="72" spans="1:10" ht="45" x14ac:dyDescent="0.25">
      <c r="A72" s="68">
        <v>1</v>
      </c>
      <c r="B72" s="24" t="s">
        <v>296</v>
      </c>
      <c r="C72" s="22"/>
      <c r="D72" s="3">
        <v>10500</v>
      </c>
      <c r="E72" s="3"/>
      <c r="F72" s="3"/>
      <c r="G72" s="3"/>
    </row>
    <row r="73" spans="1:10" x14ac:dyDescent="0.25">
      <c r="A73" s="68">
        <v>1</v>
      </c>
      <c r="B73" s="54" t="s">
        <v>152</v>
      </c>
      <c r="C73" s="22"/>
      <c r="D73" s="18">
        <f>D50+ROUND(D68*3.2,0)+D70+D72</f>
        <v>65501.8</v>
      </c>
      <c r="E73" s="3"/>
      <c r="F73" s="3"/>
      <c r="G73" s="3"/>
    </row>
    <row r="74" spans="1:10" ht="19.5" customHeight="1" x14ac:dyDescent="0.25">
      <c r="A74" s="68">
        <v>1</v>
      </c>
      <c r="B74" s="55" t="s">
        <v>151</v>
      </c>
      <c r="C74" s="22"/>
      <c r="D74" s="18">
        <f>SUM(D48,D73)</f>
        <v>323826.8</v>
      </c>
      <c r="E74" s="3"/>
      <c r="F74" s="3"/>
      <c r="G74" s="3"/>
      <c r="I74" s="263"/>
      <c r="J74" s="263"/>
    </row>
    <row r="75" spans="1:10" x14ac:dyDescent="0.25">
      <c r="A75" s="68">
        <v>1</v>
      </c>
      <c r="B75" s="25" t="s">
        <v>120</v>
      </c>
      <c r="C75" s="22"/>
      <c r="D75" s="202">
        <f>SUM(D76:D81)</f>
        <v>6140</v>
      </c>
      <c r="E75" s="3"/>
      <c r="F75" s="3"/>
      <c r="G75" s="3"/>
    </row>
    <row r="76" spans="1:10" x14ac:dyDescent="0.25">
      <c r="A76" s="68">
        <v>1</v>
      </c>
      <c r="B76" s="26" t="s">
        <v>19</v>
      </c>
      <c r="C76" s="22"/>
      <c r="D76" s="3">
        <v>1500</v>
      </c>
      <c r="E76" s="3"/>
      <c r="F76" s="3"/>
      <c r="G76" s="3"/>
    </row>
    <row r="77" spans="1:10" ht="30" x14ac:dyDescent="0.25">
      <c r="A77" s="68">
        <v>1</v>
      </c>
      <c r="B77" s="210" t="s">
        <v>250</v>
      </c>
      <c r="C77" s="22"/>
      <c r="D77" s="3">
        <v>500</v>
      </c>
      <c r="E77" s="3"/>
      <c r="F77" s="3"/>
      <c r="G77" s="3"/>
    </row>
    <row r="78" spans="1:10" x14ac:dyDescent="0.25">
      <c r="A78" s="68"/>
      <c r="B78" s="210" t="s">
        <v>33</v>
      </c>
      <c r="C78" s="22"/>
      <c r="D78" s="3">
        <v>2390</v>
      </c>
      <c r="E78" s="3"/>
      <c r="F78" s="3"/>
      <c r="G78" s="3"/>
    </row>
    <row r="79" spans="1:10" ht="30" x14ac:dyDescent="0.25">
      <c r="A79" s="68"/>
      <c r="B79" s="210" t="s">
        <v>246</v>
      </c>
      <c r="C79" s="22"/>
      <c r="D79" s="3">
        <v>500</v>
      </c>
      <c r="E79" s="3"/>
      <c r="F79" s="3"/>
      <c r="G79" s="3"/>
    </row>
    <row r="80" spans="1:10" x14ac:dyDescent="0.25">
      <c r="A80" s="68">
        <v>1</v>
      </c>
      <c r="B80" s="210" t="s">
        <v>299</v>
      </c>
      <c r="C80" s="22"/>
      <c r="D80" s="3">
        <v>500</v>
      </c>
      <c r="E80" s="3"/>
      <c r="F80" s="3"/>
      <c r="G80" s="3"/>
    </row>
    <row r="81" spans="1:7" x14ac:dyDescent="0.25">
      <c r="A81" s="68">
        <v>1</v>
      </c>
      <c r="B81" s="210" t="s">
        <v>228</v>
      </c>
      <c r="C81" s="22"/>
      <c r="D81" s="3">
        <v>750</v>
      </c>
      <c r="E81" s="3"/>
      <c r="F81" s="3"/>
      <c r="G81" s="3"/>
    </row>
    <row r="82" spans="1:7" x14ac:dyDescent="0.25">
      <c r="A82" s="68">
        <v>1</v>
      </c>
      <c r="B82" s="34" t="s">
        <v>7</v>
      </c>
      <c r="C82" s="2"/>
      <c r="D82" s="3"/>
      <c r="E82" s="3"/>
      <c r="F82" s="3"/>
      <c r="G82" s="3"/>
    </row>
    <row r="83" spans="1:7" x14ac:dyDescent="0.25">
      <c r="A83" s="68">
        <v>1</v>
      </c>
      <c r="B83" s="43" t="s">
        <v>139</v>
      </c>
      <c r="C83" s="2"/>
      <c r="D83" s="3"/>
      <c r="E83" s="3"/>
      <c r="F83" s="3"/>
      <c r="G83" s="3"/>
    </row>
    <row r="84" spans="1:7" x14ac:dyDescent="0.25">
      <c r="A84" s="68">
        <v>1</v>
      </c>
      <c r="B84" s="59" t="s">
        <v>14</v>
      </c>
      <c r="C84" s="2">
        <v>300</v>
      </c>
      <c r="D84" s="38">
        <v>31</v>
      </c>
      <c r="E84" s="60">
        <v>9.8000000000000007</v>
      </c>
      <c r="F84" s="3">
        <f t="shared" ref="F84:F91" si="4">ROUND(G84/C84,0)</f>
        <v>1</v>
      </c>
      <c r="G84" s="3">
        <f t="shared" ref="G84:G91" si="5">ROUND(D84*E84,0)</f>
        <v>304</v>
      </c>
    </row>
    <row r="85" spans="1:7" x14ac:dyDescent="0.25">
      <c r="A85" s="68">
        <v>1</v>
      </c>
      <c r="B85" s="59" t="s">
        <v>12</v>
      </c>
      <c r="C85" s="2">
        <v>300</v>
      </c>
      <c r="D85" s="38">
        <v>50</v>
      </c>
      <c r="E85" s="60">
        <v>9</v>
      </c>
      <c r="F85" s="3">
        <f t="shared" si="4"/>
        <v>2</v>
      </c>
      <c r="G85" s="3">
        <f t="shared" si="5"/>
        <v>450</v>
      </c>
    </row>
    <row r="86" spans="1:7" x14ac:dyDescent="0.25">
      <c r="A86" s="68">
        <v>1</v>
      </c>
      <c r="B86" s="59" t="s">
        <v>101</v>
      </c>
      <c r="C86" s="2">
        <v>300</v>
      </c>
      <c r="D86" s="38">
        <v>160</v>
      </c>
      <c r="E86" s="60">
        <v>9.5</v>
      </c>
      <c r="F86" s="3">
        <f t="shared" si="4"/>
        <v>5</v>
      </c>
      <c r="G86" s="3">
        <f t="shared" si="5"/>
        <v>1520</v>
      </c>
    </row>
    <row r="87" spans="1:7" x14ac:dyDescent="0.25">
      <c r="A87" s="68">
        <v>1</v>
      </c>
      <c r="B87" s="59" t="s">
        <v>13</v>
      </c>
      <c r="C87" s="2">
        <v>300</v>
      </c>
      <c r="D87" s="38">
        <v>70</v>
      </c>
      <c r="E87" s="60">
        <v>8</v>
      </c>
      <c r="F87" s="3">
        <f t="shared" si="4"/>
        <v>2</v>
      </c>
      <c r="G87" s="3">
        <f t="shared" si="5"/>
        <v>560</v>
      </c>
    </row>
    <row r="88" spans="1:7" x14ac:dyDescent="0.25">
      <c r="A88" s="68">
        <v>1</v>
      </c>
      <c r="B88" s="59" t="s">
        <v>11</v>
      </c>
      <c r="C88" s="2">
        <v>300</v>
      </c>
      <c r="D88" s="2">
        <v>57</v>
      </c>
      <c r="E88" s="60">
        <v>10.4</v>
      </c>
      <c r="F88" s="3">
        <f t="shared" si="4"/>
        <v>2</v>
      </c>
      <c r="G88" s="3">
        <f t="shared" si="5"/>
        <v>593</v>
      </c>
    </row>
    <row r="89" spans="1:7" x14ac:dyDescent="0.25">
      <c r="A89" s="68">
        <v>1</v>
      </c>
      <c r="B89" s="59" t="s">
        <v>21</v>
      </c>
      <c r="C89" s="2">
        <v>300</v>
      </c>
      <c r="D89" s="2">
        <v>35</v>
      </c>
      <c r="E89" s="60">
        <v>8.1999999999999993</v>
      </c>
      <c r="F89" s="3">
        <f t="shared" si="4"/>
        <v>1</v>
      </c>
      <c r="G89" s="3">
        <f t="shared" si="5"/>
        <v>287</v>
      </c>
    </row>
    <row r="90" spans="1:7" x14ac:dyDescent="0.25">
      <c r="A90" s="68">
        <v>1</v>
      </c>
      <c r="B90" s="59" t="s">
        <v>23</v>
      </c>
      <c r="C90" s="2">
        <v>300</v>
      </c>
      <c r="D90" s="243">
        <v>50</v>
      </c>
      <c r="E90" s="77">
        <v>6</v>
      </c>
      <c r="F90" s="3">
        <f t="shared" si="4"/>
        <v>1</v>
      </c>
      <c r="G90" s="3">
        <f t="shared" si="5"/>
        <v>300</v>
      </c>
    </row>
    <row r="91" spans="1:7" x14ac:dyDescent="0.25">
      <c r="A91" s="68">
        <v>1</v>
      </c>
      <c r="B91" s="59" t="s">
        <v>27</v>
      </c>
      <c r="C91" s="2">
        <v>300</v>
      </c>
      <c r="D91" s="243">
        <v>134</v>
      </c>
      <c r="E91" s="77">
        <v>28</v>
      </c>
      <c r="F91" s="3">
        <f t="shared" si="4"/>
        <v>13</v>
      </c>
      <c r="G91" s="3">
        <f t="shared" si="5"/>
        <v>3752</v>
      </c>
    </row>
    <row r="92" spans="1:7" x14ac:dyDescent="0.25">
      <c r="A92" s="68">
        <v>1</v>
      </c>
      <c r="B92" s="264" t="s">
        <v>9</v>
      </c>
      <c r="C92" s="63"/>
      <c r="D92" s="18">
        <f t="shared" ref="D92" si="6">SUM(D84:D91)</f>
        <v>587</v>
      </c>
      <c r="E92" s="17">
        <f>G92/D92</f>
        <v>13.229982964224872</v>
      </c>
      <c r="F92" s="18">
        <f>SUM(F84:F91)</f>
        <v>27</v>
      </c>
      <c r="G92" s="18">
        <f t="shared" ref="G92" si="7">SUM(G84:G91)</f>
        <v>7766</v>
      </c>
    </row>
    <row r="93" spans="1:7" x14ac:dyDescent="0.25">
      <c r="A93" s="68">
        <v>1</v>
      </c>
      <c r="B93" s="34" t="s">
        <v>20</v>
      </c>
      <c r="C93" s="63"/>
      <c r="D93" s="18"/>
      <c r="E93" s="17"/>
      <c r="F93" s="18"/>
      <c r="G93" s="18"/>
    </row>
    <row r="94" spans="1:7" x14ac:dyDescent="0.25">
      <c r="A94" s="68">
        <v>1</v>
      </c>
      <c r="B94" s="30" t="s">
        <v>37</v>
      </c>
      <c r="C94" s="2">
        <v>240</v>
      </c>
      <c r="D94" s="2">
        <v>1830</v>
      </c>
      <c r="E94" s="60">
        <v>8</v>
      </c>
      <c r="F94" s="3">
        <f>ROUND(G94/C94,0)</f>
        <v>61</v>
      </c>
      <c r="G94" s="3">
        <f>ROUND(D94*E94,0)</f>
        <v>14640</v>
      </c>
    </row>
    <row r="95" spans="1:7" x14ac:dyDescent="0.25">
      <c r="A95" s="68"/>
      <c r="B95" s="265" t="s">
        <v>141</v>
      </c>
      <c r="C95" s="2"/>
      <c r="D95" s="266">
        <f>D94</f>
        <v>1830</v>
      </c>
      <c r="E95" s="77">
        <f t="shared" ref="E95:G95" si="8">E94</f>
        <v>8</v>
      </c>
      <c r="F95" s="3">
        <f t="shared" si="8"/>
        <v>61</v>
      </c>
      <c r="G95" s="3">
        <f t="shared" si="8"/>
        <v>14640</v>
      </c>
    </row>
    <row r="96" spans="1:7" ht="19.5" customHeight="1" x14ac:dyDescent="0.25">
      <c r="A96" s="68">
        <v>1</v>
      </c>
      <c r="B96" s="31" t="s">
        <v>117</v>
      </c>
      <c r="C96" s="267"/>
      <c r="D96" s="18">
        <f>D92+D94</f>
        <v>2417</v>
      </c>
      <c r="E96" s="17">
        <f>G96/D96</f>
        <v>9.2701696317749285</v>
      </c>
      <c r="F96" s="18">
        <f>F92+F94</f>
        <v>88</v>
      </c>
      <c r="G96" s="18">
        <f>G92+G94</f>
        <v>22406</v>
      </c>
    </row>
    <row r="97" spans="1:8" ht="41.25" customHeight="1" x14ac:dyDescent="0.25">
      <c r="A97" s="68">
        <v>1</v>
      </c>
      <c r="B97" s="32" t="s">
        <v>166</v>
      </c>
      <c r="C97" s="78"/>
      <c r="D97" s="268">
        <v>30</v>
      </c>
      <c r="E97" s="269"/>
      <c r="F97" s="268"/>
      <c r="G97" s="268"/>
    </row>
    <row r="98" spans="1:8" ht="15.75" thickBot="1" x14ac:dyDescent="0.3">
      <c r="A98" s="68">
        <v>1</v>
      </c>
      <c r="B98" s="270" t="s">
        <v>10</v>
      </c>
      <c r="C98" s="271"/>
      <c r="D98" s="272"/>
      <c r="E98" s="272"/>
      <c r="F98" s="272"/>
      <c r="G98" s="272"/>
    </row>
    <row r="99" spans="1:8" hidden="1" x14ac:dyDescent="0.25">
      <c r="A99" s="68">
        <v>1</v>
      </c>
      <c r="B99" s="78"/>
      <c r="C99" s="273"/>
      <c r="D99" s="3"/>
      <c r="E99" s="3"/>
      <c r="F99" s="3"/>
      <c r="G99" s="3"/>
    </row>
    <row r="100" spans="1:8" s="68" customFormat="1" ht="29.25" hidden="1" x14ac:dyDescent="0.25">
      <c r="A100" s="68">
        <v>1</v>
      </c>
      <c r="B100" s="62" t="s">
        <v>96</v>
      </c>
      <c r="C100" s="63"/>
      <c r="D100" s="274"/>
      <c r="E100" s="3"/>
      <c r="F100" s="3"/>
      <c r="G100" s="3"/>
      <c r="H100" s="241"/>
    </row>
    <row r="101" spans="1:8" s="68" customFormat="1" hidden="1" x14ac:dyDescent="0.25">
      <c r="A101" s="68">
        <v>1</v>
      </c>
      <c r="B101" s="69" t="s">
        <v>4</v>
      </c>
      <c r="C101" s="63"/>
      <c r="D101" s="3"/>
      <c r="E101" s="3"/>
      <c r="F101" s="3"/>
      <c r="G101" s="3"/>
      <c r="H101" s="241"/>
    </row>
    <row r="102" spans="1:8" s="68" customFormat="1" hidden="1" x14ac:dyDescent="0.25">
      <c r="A102" s="68">
        <v>1</v>
      </c>
      <c r="B102" s="59" t="s">
        <v>21</v>
      </c>
      <c r="C102" s="79">
        <v>340</v>
      </c>
      <c r="D102" s="3">
        <v>1823</v>
      </c>
      <c r="E102" s="60">
        <v>9.6999999999999993</v>
      </c>
      <c r="F102" s="3">
        <f t="shared" ref="F102:F106" si="9">ROUND(G102/C102,0)</f>
        <v>52</v>
      </c>
      <c r="G102" s="3">
        <f t="shared" ref="G102:G106" si="10">ROUND(D102*E102,0)</f>
        <v>17683</v>
      </c>
      <c r="H102" s="241"/>
    </row>
    <row r="103" spans="1:8" s="68" customFormat="1" hidden="1" x14ac:dyDescent="0.25">
      <c r="A103" s="68">
        <v>1</v>
      </c>
      <c r="B103" s="1" t="s">
        <v>22</v>
      </c>
      <c r="C103" s="79">
        <v>340</v>
      </c>
      <c r="D103" s="3">
        <v>2216</v>
      </c>
      <c r="E103" s="60">
        <v>8.9</v>
      </c>
      <c r="F103" s="3">
        <f t="shared" si="9"/>
        <v>58</v>
      </c>
      <c r="G103" s="3">
        <f t="shared" si="10"/>
        <v>19722</v>
      </c>
      <c r="H103" s="241"/>
    </row>
    <row r="104" spans="1:8" s="68" customFormat="1" hidden="1" x14ac:dyDescent="0.25">
      <c r="A104" s="68">
        <v>1</v>
      </c>
      <c r="B104" s="1" t="s">
        <v>11</v>
      </c>
      <c r="C104" s="79">
        <v>340</v>
      </c>
      <c r="D104" s="3">
        <v>2131</v>
      </c>
      <c r="E104" s="60">
        <v>7.1</v>
      </c>
      <c r="F104" s="3">
        <f t="shared" si="9"/>
        <v>45</v>
      </c>
      <c r="G104" s="3">
        <f t="shared" si="10"/>
        <v>15130</v>
      </c>
      <c r="H104" s="241"/>
    </row>
    <row r="105" spans="1:8" s="68" customFormat="1" hidden="1" x14ac:dyDescent="0.25">
      <c r="A105" s="68">
        <v>1</v>
      </c>
      <c r="B105" s="1" t="s">
        <v>46</v>
      </c>
      <c r="C105" s="79">
        <v>340</v>
      </c>
      <c r="D105" s="3">
        <v>1384</v>
      </c>
      <c r="E105" s="60">
        <v>8.6</v>
      </c>
      <c r="F105" s="3">
        <f t="shared" si="9"/>
        <v>35</v>
      </c>
      <c r="G105" s="3">
        <f t="shared" si="10"/>
        <v>11902</v>
      </c>
      <c r="H105" s="241"/>
    </row>
    <row r="106" spans="1:8" s="68" customFormat="1" hidden="1" x14ac:dyDescent="0.25">
      <c r="A106" s="68">
        <v>1</v>
      </c>
      <c r="B106" s="59" t="s">
        <v>23</v>
      </c>
      <c r="C106" s="2">
        <v>340</v>
      </c>
      <c r="D106" s="3">
        <v>2000</v>
      </c>
      <c r="E106" s="60">
        <v>6.5</v>
      </c>
      <c r="F106" s="3">
        <f t="shared" si="9"/>
        <v>38</v>
      </c>
      <c r="G106" s="3">
        <f t="shared" si="10"/>
        <v>13000</v>
      </c>
      <c r="H106" s="241"/>
    </row>
    <row r="107" spans="1:8" hidden="1" x14ac:dyDescent="0.25">
      <c r="A107" s="68">
        <v>1</v>
      </c>
      <c r="B107" s="54" t="s">
        <v>5</v>
      </c>
      <c r="C107" s="2"/>
      <c r="D107" s="18">
        <f>SUM(D102:D106)</f>
        <v>9554</v>
      </c>
      <c r="E107" s="17">
        <f>G107/D107</f>
        <v>8.105191542809294</v>
      </c>
      <c r="F107" s="18">
        <f>SUM(F102:F106)</f>
        <v>228</v>
      </c>
      <c r="G107" s="18">
        <f>SUM(G102:G106)</f>
        <v>77437</v>
      </c>
    </row>
    <row r="108" spans="1:8" s="20" customFormat="1" hidden="1" x14ac:dyDescent="0.25">
      <c r="A108" s="68">
        <v>1</v>
      </c>
      <c r="B108" s="4"/>
      <c r="C108" s="5"/>
      <c r="D108" s="13"/>
      <c r="E108" s="14"/>
      <c r="F108" s="3"/>
      <c r="G108" s="13"/>
      <c r="H108" s="275"/>
    </row>
    <row r="109" spans="1:8" s="20" customFormat="1" ht="14.25" hidden="1" x14ac:dyDescent="0.2">
      <c r="A109" s="68">
        <v>1</v>
      </c>
      <c r="B109" s="15"/>
      <c r="C109" s="16"/>
      <c r="D109" s="19"/>
      <c r="E109" s="17"/>
      <c r="F109" s="19"/>
      <c r="G109" s="19"/>
      <c r="H109" s="275"/>
    </row>
    <row r="110" spans="1:8" hidden="1" x14ac:dyDescent="0.25">
      <c r="A110" s="68">
        <v>1</v>
      </c>
      <c r="B110" s="21" t="s">
        <v>6</v>
      </c>
      <c r="C110" s="244"/>
      <c r="D110" s="245"/>
      <c r="E110" s="3"/>
      <c r="F110" s="3"/>
      <c r="G110" s="3"/>
    </row>
    <row r="111" spans="1:8" ht="30" hidden="1" x14ac:dyDescent="0.25">
      <c r="A111" s="68">
        <v>1</v>
      </c>
      <c r="B111" s="23" t="s">
        <v>322</v>
      </c>
      <c r="C111" s="244"/>
      <c r="D111" s="245"/>
      <c r="E111" s="3"/>
      <c r="F111" s="3"/>
      <c r="G111" s="3"/>
    </row>
    <row r="112" spans="1:8" hidden="1" x14ac:dyDescent="0.25">
      <c r="A112" s="68">
        <v>1</v>
      </c>
      <c r="B112" s="24" t="s">
        <v>118</v>
      </c>
      <c r="C112" s="244"/>
      <c r="D112" s="245"/>
      <c r="E112" s="3"/>
      <c r="F112" s="3"/>
      <c r="G112" s="3"/>
    </row>
    <row r="113" spans="1:8" ht="30" hidden="1" x14ac:dyDescent="0.25">
      <c r="A113" s="68">
        <v>1</v>
      </c>
      <c r="B113" s="24" t="s">
        <v>119</v>
      </c>
      <c r="C113" s="244"/>
      <c r="D113" s="247"/>
      <c r="E113" s="3"/>
      <c r="F113" s="3"/>
      <c r="G113" s="3"/>
    </row>
    <row r="114" spans="1:8" hidden="1" x14ac:dyDescent="0.25">
      <c r="A114" s="68">
        <v>1</v>
      </c>
      <c r="B114" s="212" t="s">
        <v>151</v>
      </c>
      <c r="C114" s="244"/>
      <c r="D114" s="248">
        <f>D113</f>
        <v>0</v>
      </c>
      <c r="E114" s="3"/>
      <c r="F114" s="3"/>
      <c r="G114" s="3"/>
    </row>
    <row r="115" spans="1:8" hidden="1" x14ac:dyDescent="0.25">
      <c r="A115" s="68">
        <v>1</v>
      </c>
      <c r="B115" s="25" t="s">
        <v>120</v>
      </c>
      <c r="C115" s="244"/>
      <c r="D115" s="276">
        <f>SUM(D116:D117)</f>
        <v>2500</v>
      </c>
      <c r="E115" s="3"/>
      <c r="F115" s="3"/>
      <c r="G115" s="3"/>
    </row>
    <row r="116" spans="1:8" hidden="1" x14ac:dyDescent="0.25">
      <c r="A116" s="68">
        <v>1</v>
      </c>
      <c r="B116" s="26" t="s">
        <v>19</v>
      </c>
      <c r="C116" s="244"/>
      <c r="D116" s="247">
        <v>2400</v>
      </c>
      <c r="E116" s="3"/>
      <c r="F116" s="3"/>
      <c r="G116" s="3"/>
    </row>
    <row r="117" spans="1:8" ht="30" hidden="1" x14ac:dyDescent="0.25">
      <c r="A117" s="68">
        <v>1</v>
      </c>
      <c r="B117" s="210" t="s">
        <v>250</v>
      </c>
      <c r="C117" s="244"/>
      <c r="D117" s="247">
        <v>100</v>
      </c>
      <c r="E117" s="3"/>
      <c r="F117" s="3"/>
      <c r="G117" s="3"/>
    </row>
    <row r="118" spans="1:8" ht="19.5" hidden="1" customHeight="1" x14ac:dyDescent="0.25">
      <c r="A118" s="68">
        <v>1</v>
      </c>
      <c r="B118" s="34" t="s">
        <v>7</v>
      </c>
      <c r="C118" s="2"/>
      <c r="D118" s="3"/>
      <c r="E118" s="60"/>
      <c r="F118" s="3"/>
      <c r="G118" s="3"/>
    </row>
    <row r="119" spans="1:8" hidden="1" x14ac:dyDescent="0.25">
      <c r="A119" s="68">
        <v>1</v>
      </c>
      <c r="B119" s="43" t="s">
        <v>139</v>
      </c>
      <c r="C119" s="2"/>
      <c r="D119" s="3"/>
      <c r="E119" s="60"/>
      <c r="F119" s="3"/>
      <c r="G119" s="3"/>
    </row>
    <row r="120" spans="1:8" hidden="1" x14ac:dyDescent="0.25">
      <c r="A120" s="68">
        <v>1</v>
      </c>
      <c r="B120" s="59" t="s">
        <v>21</v>
      </c>
      <c r="C120" s="2">
        <v>300</v>
      </c>
      <c r="D120" s="38">
        <v>115</v>
      </c>
      <c r="E120" s="60">
        <v>8</v>
      </c>
      <c r="F120" s="3">
        <f>ROUND(G120/C120,0)</f>
        <v>3</v>
      </c>
      <c r="G120" s="3">
        <f>ROUND(D120*E120,0)</f>
        <v>920</v>
      </c>
    </row>
    <row r="121" spans="1:8" hidden="1" x14ac:dyDescent="0.25">
      <c r="A121" s="68">
        <v>1</v>
      </c>
      <c r="B121" s="59" t="s">
        <v>23</v>
      </c>
      <c r="C121" s="2">
        <v>300</v>
      </c>
      <c r="D121" s="38">
        <v>1620</v>
      </c>
      <c r="E121" s="60">
        <v>4</v>
      </c>
      <c r="F121" s="3">
        <f>ROUND(G121/C121,0)</f>
        <v>22</v>
      </c>
      <c r="G121" s="3">
        <f>ROUND(D121*E121,0)</f>
        <v>6480</v>
      </c>
    </row>
    <row r="122" spans="1:8" hidden="1" x14ac:dyDescent="0.25">
      <c r="A122" s="68">
        <v>1</v>
      </c>
      <c r="B122" s="37" t="s">
        <v>9</v>
      </c>
      <c r="C122" s="37"/>
      <c r="D122" s="35">
        <f>D120+D121</f>
        <v>1735</v>
      </c>
      <c r="E122" s="17">
        <f t="shared" ref="E122:E123" si="11">G122/D122</f>
        <v>4.2651296829971184</v>
      </c>
      <c r="F122" s="35">
        <f>F120+F121</f>
        <v>25</v>
      </c>
      <c r="G122" s="35">
        <f>G120+G121</f>
        <v>7400</v>
      </c>
    </row>
    <row r="123" spans="1:8" ht="16.5" hidden="1" customHeight="1" x14ac:dyDescent="0.25">
      <c r="A123" s="68">
        <v>1</v>
      </c>
      <c r="B123" s="31" t="s">
        <v>117</v>
      </c>
      <c r="C123" s="267"/>
      <c r="D123" s="18">
        <f t="shared" ref="D123" si="12">D122</f>
        <v>1735</v>
      </c>
      <c r="E123" s="17">
        <f t="shared" si="11"/>
        <v>4.2651296829971184</v>
      </c>
      <c r="F123" s="18">
        <f t="shared" ref="F123:G123" si="13">F122</f>
        <v>25</v>
      </c>
      <c r="G123" s="18">
        <f t="shared" si="13"/>
        <v>7400</v>
      </c>
    </row>
    <row r="124" spans="1:8" s="68" customFormat="1" hidden="1" thickBot="1" x14ac:dyDescent="0.25">
      <c r="A124" s="68">
        <v>1</v>
      </c>
      <c r="B124" s="277" t="s">
        <v>10</v>
      </c>
      <c r="C124" s="81"/>
      <c r="D124" s="81"/>
      <c r="E124" s="81"/>
      <c r="F124" s="81"/>
      <c r="G124" s="81"/>
      <c r="H124" s="241"/>
    </row>
    <row r="125" spans="1:8" ht="24.75" hidden="1" customHeight="1" x14ac:dyDescent="0.25">
      <c r="A125" s="68">
        <v>1</v>
      </c>
      <c r="B125" s="278" t="s">
        <v>86</v>
      </c>
      <c r="C125" s="240"/>
      <c r="D125" s="258"/>
      <c r="E125" s="258"/>
      <c r="F125" s="258"/>
      <c r="G125" s="258"/>
    </row>
    <row r="126" spans="1:8" hidden="1" x14ac:dyDescent="0.25">
      <c r="A126" s="68">
        <v>1</v>
      </c>
      <c r="B126" s="69" t="s">
        <v>4</v>
      </c>
      <c r="C126" s="2"/>
      <c r="D126" s="3"/>
      <c r="E126" s="3"/>
      <c r="F126" s="3"/>
      <c r="G126" s="3"/>
    </row>
    <row r="127" spans="1:8" hidden="1" x14ac:dyDescent="0.25">
      <c r="A127" s="68">
        <v>1</v>
      </c>
      <c r="B127" s="59" t="s">
        <v>14</v>
      </c>
      <c r="C127" s="2">
        <v>320</v>
      </c>
      <c r="D127" s="3">
        <v>822</v>
      </c>
      <c r="E127" s="60">
        <v>12.5</v>
      </c>
      <c r="F127" s="3">
        <f>ROUND(G127/C127,0)</f>
        <v>32</v>
      </c>
      <c r="G127" s="3">
        <f>ROUND(D127*E127,0)</f>
        <v>10275</v>
      </c>
    </row>
    <row r="128" spans="1:8" hidden="1" x14ac:dyDescent="0.25">
      <c r="A128" s="68">
        <v>1</v>
      </c>
      <c r="B128" s="59" t="s">
        <v>25</v>
      </c>
      <c r="C128" s="2">
        <v>320</v>
      </c>
      <c r="D128" s="3">
        <v>320</v>
      </c>
      <c r="E128" s="60">
        <v>10.5</v>
      </c>
      <c r="F128" s="3">
        <f>ROUND(G128/C128,0)</f>
        <v>11</v>
      </c>
      <c r="G128" s="3">
        <f>ROUND(D128*E128,0)</f>
        <v>3360</v>
      </c>
    </row>
    <row r="129" spans="1:8" hidden="1" x14ac:dyDescent="0.25">
      <c r="A129" s="68">
        <v>1</v>
      </c>
      <c r="B129" s="59" t="s">
        <v>26</v>
      </c>
      <c r="C129" s="2">
        <v>320</v>
      </c>
      <c r="D129" s="3">
        <v>589</v>
      </c>
      <c r="E129" s="60">
        <v>11</v>
      </c>
      <c r="F129" s="3">
        <f>ROUND(G129/C129,0)</f>
        <v>20</v>
      </c>
      <c r="G129" s="3">
        <f>ROUND(D129*E129,0)</f>
        <v>6479</v>
      </c>
    </row>
    <row r="130" spans="1:8" hidden="1" x14ac:dyDescent="0.25">
      <c r="A130" s="68">
        <v>1</v>
      </c>
      <c r="B130" s="54" t="s">
        <v>5</v>
      </c>
      <c r="C130" s="63"/>
      <c r="D130" s="18">
        <f>D127+D128+D129</f>
        <v>1731</v>
      </c>
      <c r="E130" s="17">
        <f>G130/D130</f>
        <v>11.619872905834777</v>
      </c>
      <c r="F130" s="18">
        <f>F127+F128+F129</f>
        <v>63</v>
      </c>
      <c r="G130" s="18">
        <f>G127+G128+G129</f>
        <v>20114</v>
      </c>
    </row>
    <row r="131" spans="1:8" s="46" customFormat="1" ht="18.75" hidden="1" customHeight="1" x14ac:dyDescent="0.25">
      <c r="A131" s="68">
        <v>1</v>
      </c>
      <c r="B131" s="21" t="s">
        <v>205</v>
      </c>
      <c r="C131" s="21"/>
      <c r="D131" s="74"/>
      <c r="E131" s="45"/>
      <c r="F131" s="45"/>
      <c r="G131" s="45"/>
      <c r="H131" s="261"/>
    </row>
    <row r="132" spans="1:8" s="46" customFormat="1" ht="30" hidden="1" x14ac:dyDescent="0.25">
      <c r="A132" s="68">
        <v>1</v>
      </c>
      <c r="B132" s="23" t="s">
        <v>322</v>
      </c>
      <c r="C132" s="47"/>
      <c r="D132" s="45">
        <f>SUM(D133,D134,D135,D136)</f>
        <v>13175</v>
      </c>
      <c r="E132" s="45"/>
      <c r="F132" s="45"/>
      <c r="G132" s="45"/>
      <c r="H132" s="261"/>
    </row>
    <row r="133" spans="1:8" s="46" customFormat="1" hidden="1" x14ac:dyDescent="0.25">
      <c r="A133" s="68">
        <v>1</v>
      </c>
      <c r="B133" s="48" t="s">
        <v>206</v>
      </c>
      <c r="C133" s="47"/>
      <c r="D133" s="45"/>
      <c r="E133" s="45"/>
      <c r="F133" s="45"/>
      <c r="G133" s="45"/>
      <c r="H133" s="261"/>
    </row>
    <row r="134" spans="1:8" s="46" customFormat="1" ht="17.25" hidden="1" customHeight="1" x14ac:dyDescent="0.25">
      <c r="A134" s="68">
        <v>1</v>
      </c>
      <c r="B134" s="48" t="s">
        <v>207</v>
      </c>
      <c r="C134" s="47"/>
      <c r="D134" s="3">
        <v>1200</v>
      </c>
      <c r="E134" s="45"/>
      <c r="F134" s="45"/>
      <c r="G134" s="45"/>
      <c r="H134" s="261"/>
    </row>
    <row r="135" spans="1:8" s="46" customFormat="1" ht="30" hidden="1" x14ac:dyDescent="0.25">
      <c r="A135" s="68">
        <v>1</v>
      </c>
      <c r="B135" s="48" t="s">
        <v>208</v>
      </c>
      <c r="C135" s="47"/>
      <c r="D135" s="3">
        <v>300</v>
      </c>
      <c r="E135" s="45"/>
      <c r="F135" s="45"/>
      <c r="G135" s="45"/>
      <c r="H135" s="261"/>
    </row>
    <row r="136" spans="1:8" s="46" customFormat="1" hidden="1" x14ac:dyDescent="0.25">
      <c r="A136" s="68">
        <v>1</v>
      </c>
      <c r="B136" s="23" t="s">
        <v>209</v>
      </c>
      <c r="C136" s="47"/>
      <c r="D136" s="3">
        <v>11675</v>
      </c>
      <c r="E136" s="45"/>
      <c r="F136" s="45"/>
      <c r="G136" s="45"/>
      <c r="H136" s="261"/>
    </row>
    <row r="137" spans="1:8" s="68" customFormat="1" hidden="1" x14ac:dyDescent="0.25">
      <c r="A137" s="68">
        <v>1</v>
      </c>
      <c r="B137" s="24" t="s">
        <v>118</v>
      </c>
      <c r="C137" s="22"/>
      <c r="D137" s="3">
        <v>17413</v>
      </c>
      <c r="E137" s="3"/>
      <c r="F137" s="3"/>
      <c r="G137" s="3"/>
      <c r="H137" s="241"/>
    </row>
    <row r="138" spans="1:8" s="46" customFormat="1" hidden="1" x14ac:dyDescent="0.25">
      <c r="A138" s="68">
        <v>1</v>
      </c>
      <c r="B138" s="44" t="s">
        <v>150</v>
      </c>
      <c r="C138" s="262"/>
      <c r="D138" s="3"/>
      <c r="E138" s="45"/>
      <c r="F138" s="45"/>
      <c r="G138" s="45"/>
      <c r="H138" s="261"/>
    </row>
    <row r="139" spans="1:8" s="46" customFormat="1" ht="15.75" hidden="1" customHeight="1" x14ac:dyDescent="0.25">
      <c r="A139" s="68">
        <v>1</v>
      </c>
      <c r="B139" s="49" t="s">
        <v>210</v>
      </c>
      <c r="C139" s="50"/>
      <c r="D139" s="47">
        <f>D132+ROUND(D137*3.2,0)</f>
        <v>68897</v>
      </c>
      <c r="E139" s="51"/>
      <c r="F139" s="51"/>
      <c r="G139" s="56"/>
      <c r="H139" s="261"/>
    </row>
    <row r="140" spans="1:8" s="46" customFormat="1" ht="15.75" hidden="1" customHeight="1" x14ac:dyDescent="0.25">
      <c r="A140" s="68">
        <v>1</v>
      </c>
      <c r="B140" s="21" t="s">
        <v>153</v>
      </c>
      <c r="C140" s="22"/>
      <c r="D140" s="3"/>
      <c r="E140" s="51"/>
      <c r="F140" s="51"/>
      <c r="G140" s="56"/>
      <c r="H140" s="261"/>
    </row>
    <row r="141" spans="1:8" s="46" customFormat="1" ht="35.25" hidden="1" customHeight="1" x14ac:dyDescent="0.25">
      <c r="A141" s="68">
        <v>1</v>
      </c>
      <c r="B141" s="23" t="s">
        <v>322</v>
      </c>
      <c r="C141" s="22"/>
      <c r="D141" s="3">
        <f>SUM(D142,D143,D150,D156,D157,D158,D159)</f>
        <v>61281</v>
      </c>
      <c r="E141" s="51"/>
      <c r="F141" s="51"/>
      <c r="G141" s="56"/>
      <c r="H141" s="261"/>
    </row>
    <row r="142" spans="1:8" s="46" customFormat="1" ht="15.75" hidden="1" customHeight="1" x14ac:dyDescent="0.25">
      <c r="A142" s="68">
        <v>1</v>
      </c>
      <c r="B142" s="23" t="s">
        <v>206</v>
      </c>
      <c r="C142" s="22"/>
      <c r="D142" s="3"/>
      <c r="E142" s="51"/>
      <c r="F142" s="51"/>
      <c r="G142" s="56"/>
      <c r="H142" s="261"/>
    </row>
    <row r="143" spans="1:8" s="46" customFormat="1" ht="15.75" hidden="1" customHeight="1" x14ac:dyDescent="0.25">
      <c r="A143" s="68">
        <v>1</v>
      </c>
      <c r="B143" s="48" t="s">
        <v>211</v>
      </c>
      <c r="C143" s="22"/>
      <c r="D143" s="3">
        <f>D144+D145+D146+D148</f>
        <v>1473</v>
      </c>
      <c r="E143" s="51"/>
      <c r="F143" s="51"/>
      <c r="G143" s="56"/>
      <c r="H143" s="261"/>
    </row>
    <row r="144" spans="1:8" s="46" customFormat="1" ht="19.5" hidden="1" customHeight="1" x14ac:dyDescent="0.25">
      <c r="A144" s="68">
        <v>1</v>
      </c>
      <c r="B144" s="52" t="s">
        <v>212</v>
      </c>
      <c r="C144" s="22"/>
      <c r="D144" s="45"/>
      <c r="E144" s="51"/>
      <c r="F144" s="51"/>
      <c r="G144" s="56"/>
      <c r="H144" s="261"/>
    </row>
    <row r="145" spans="1:8" s="46" customFormat="1" ht="15.75" hidden="1" customHeight="1" x14ac:dyDescent="0.25">
      <c r="A145" s="68">
        <v>1</v>
      </c>
      <c r="B145" s="52" t="s">
        <v>213</v>
      </c>
      <c r="C145" s="22"/>
      <c r="D145" s="45"/>
      <c r="E145" s="51"/>
      <c r="F145" s="51"/>
      <c r="G145" s="56"/>
      <c r="H145" s="261"/>
    </row>
    <row r="146" spans="1:8" s="46" customFormat="1" ht="30.75" hidden="1" customHeight="1" x14ac:dyDescent="0.25">
      <c r="A146" s="68">
        <v>1</v>
      </c>
      <c r="B146" s="52" t="s">
        <v>214</v>
      </c>
      <c r="C146" s="22"/>
      <c r="D146" s="45">
        <v>780</v>
      </c>
      <c r="E146" s="51"/>
      <c r="F146" s="51"/>
      <c r="G146" s="56"/>
      <c r="H146" s="261"/>
    </row>
    <row r="147" spans="1:8" s="46" customFormat="1" hidden="1" x14ac:dyDescent="0.25">
      <c r="A147" s="68">
        <v>1</v>
      </c>
      <c r="B147" s="52" t="s">
        <v>215</v>
      </c>
      <c r="C147" s="22"/>
      <c r="D147" s="45">
        <v>90</v>
      </c>
      <c r="E147" s="51"/>
      <c r="F147" s="51"/>
      <c r="G147" s="56"/>
      <c r="H147" s="261"/>
    </row>
    <row r="148" spans="1:8" s="46" customFormat="1" ht="30" hidden="1" x14ac:dyDescent="0.25">
      <c r="A148" s="68">
        <v>1</v>
      </c>
      <c r="B148" s="52" t="s">
        <v>216</v>
      </c>
      <c r="C148" s="22"/>
      <c r="D148" s="45">
        <v>693</v>
      </c>
      <c r="E148" s="51"/>
      <c r="F148" s="51"/>
      <c r="G148" s="56"/>
      <c r="H148" s="261"/>
    </row>
    <row r="149" spans="1:8" s="46" customFormat="1" hidden="1" x14ac:dyDescent="0.25">
      <c r="A149" s="68">
        <v>1</v>
      </c>
      <c r="B149" s="52" t="s">
        <v>215</v>
      </c>
      <c r="C149" s="22"/>
      <c r="D149" s="76">
        <v>76</v>
      </c>
      <c r="E149" s="51"/>
      <c r="F149" s="51"/>
      <c r="G149" s="56"/>
      <c r="H149" s="261"/>
    </row>
    <row r="150" spans="1:8" s="46" customFormat="1" ht="30" hidden="1" customHeight="1" x14ac:dyDescent="0.25">
      <c r="A150" s="68">
        <v>1</v>
      </c>
      <c r="B150" s="48" t="s">
        <v>217</v>
      </c>
      <c r="C150" s="22"/>
      <c r="D150" s="3">
        <f>SUM(D151,D152,D154)</f>
        <v>37726</v>
      </c>
      <c r="E150" s="51"/>
      <c r="F150" s="51"/>
      <c r="G150" s="56"/>
      <c r="H150" s="261"/>
    </row>
    <row r="151" spans="1:8" s="46" customFormat="1" ht="30" hidden="1" x14ac:dyDescent="0.25">
      <c r="A151" s="68">
        <v>1</v>
      </c>
      <c r="B151" s="52" t="s">
        <v>218</v>
      </c>
      <c r="C151" s="22"/>
      <c r="D151" s="3"/>
      <c r="E151" s="51"/>
      <c r="F151" s="51"/>
      <c r="G151" s="56"/>
      <c r="H151" s="261"/>
    </row>
    <row r="152" spans="1:8" s="46" customFormat="1" ht="45" hidden="1" x14ac:dyDescent="0.25">
      <c r="A152" s="68">
        <v>1</v>
      </c>
      <c r="B152" s="52" t="s">
        <v>219</v>
      </c>
      <c r="C152" s="22"/>
      <c r="D152" s="42">
        <v>33831</v>
      </c>
      <c r="E152" s="51"/>
      <c r="F152" s="51"/>
      <c r="G152" s="56"/>
      <c r="H152" s="261"/>
    </row>
    <row r="153" spans="1:8" s="46" customFormat="1" hidden="1" x14ac:dyDescent="0.25">
      <c r="A153" s="68">
        <v>1</v>
      </c>
      <c r="B153" s="52" t="s">
        <v>215</v>
      </c>
      <c r="C153" s="22"/>
      <c r="D153" s="42">
        <v>8600</v>
      </c>
      <c r="E153" s="51"/>
      <c r="F153" s="51"/>
      <c r="G153" s="56"/>
      <c r="H153" s="261"/>
    </row>
    <row r="154" spans="1:8" s="46" customFormat="1" ht="45" hidden="1" x14ac:dyDescent="0.25">
      <c r="A154" s="68">
        <v>1</v>
      </c>
      <c r="B154" s="52" t="s">
        <v>220</v>
      </c>
      <c r="C154" s="22"/>
      <c r="D154" s="42">
        <v>3895</v>
      </c>
      <c r="E154" s="51"/>
      <c r="F154" s="51"/>
      <c r="G154" s="56"/>
      <c r="H154" s="261"/>
    </row>
    <row r="155" spans="1:8" s="46" customFormat="1" hidden="1" x14ac:dyDescent="0.25">
      <c r="A155" s="68">
        <v>1</v>
      </c>
      <c r="B155" s="52" t="s">
        <v>215</v>
      </c>
      <c r="C155" s="22"/>
      <c r="D155" s="42">
        <v>2695</v>
      </c>
      <c r="E155" s="51"/>
      <c r="F155" s="51"/>
      <c r="G155" s="56"/>
      <c r="H155" s="261"/>
    </row>
    <row r="156" spans="1:8" s="46" customFormat="1" ht="31.5" hidden="1" customHeight="1" x14ac:dyDescent="0.25">
      <c r="A156" s="68">
        <v>1</v>
      </c>
      <c r="B156" s="48" t="s">
        <v>221</v>
      </c>
      <c r="C156" s="22"/>
      <c r="D156" s="3">
        <v>500</v>
      </c>
      <c r="E156" s="51"/>
      <c r="F156" s="51"/>
      <c r="G156" s="56"/>
      <c r="H156" s="261"/>
    </row>
    <row r="157" spans="1:8" s="46" customFormat="1" ht="15.75" hidden="1" customHeight="1" x14ac:dyDescent="0.25">
      <c r="A157" s="68">
        <v>1</v>
      </c>
      <c r="B157" s="48" t="s">
        <v>222</v>
      </c>
      <c r="C157" s="22"/>
      <c r="D157" s="3"/>
      <c r="E157" s="51"/>
      <c r="F157" s="51"/>
      <c r="G157" s="56"/>
      <c r="H157" s="261"/>
    </row>
    <row r="158" spans="1:8" s="46" customFormat="1" ht="15.75" hidden="1" customHeight="1" x14ac:dyDescent="0.25">
      <c r="A158" s="68">
        <v>1</v>
      </c>
      <c r="B158" s="23" t="s">
        <v>326</v>
      </c>
      <c r="C158" s="22"/>
      <c r="D158" s="3">
        <v>8992</v>
      </c>
      <c r="E158" s="51"/>
      <c r="F158" s="51"/>
      <c r="G158" s="56"/>
      <c r="H158" s="301"/>
    </row>
    <row r="159" spans="1:8" s="46" customFormat="1" ht="45" hidden="1" x14ac:dyDescent="0.25">
      <c r="A159" s="68"/>
      <c r="B159" s="23" t="s">
        <v>328</v>
      </c>
      <c r="C159" s="22"/>
      <c r="D159" s="3">
        <v>12590</v>
      </c>
      <c r="E159" s="51"/>
      <c r="F159" s="51"/>
      <c r="G159" s="56"/>
      <c r="H159" s="261"/>
    </row>
    <row r="160" spans="1:8" s="46" customFormat="1" hidden="1" x14ac:dyDescent="0.25">
      <c r="A160" s="68">
        <v>1</v>
      </c>
      <c r="B160" s="24" t="s">
        <v>327</v>
      </c>
      <c r="C160" s="47"/>
      <c r="D160" s="45">
        <v>3161</v>
      </c>
      <c r="E160" s="51"/>
      <c r="F160" s="51"/>
      <c r="G160" s="56"/>
      <c r="H160" s="261"/>
    </row>
    <row r="161" spans="1:8" s="46" customFormat="1" ht="45" hidden="1" x14ac:dyDescent="0.25">
      <c r="A161" s="68"/>
      <c r="B161" s="24" t="s">
        <v>329</v>
      </c>
      <c r="C161" s="47"/>
      <c r="D161" s="76">
        <v>4426</v>
      </c>
      <c r="E161" s="51"/>
      <c r="F161" s="51"/>
      <c r="G161" s="56"/>
      <c r="H161" s="261"/>
    </row>
    <row r="162" spans="1:8" s="46" customFormat="1" hidden="1" x14ac:dyDescent="0.25">
      <c r="A162" s="68">
        <v>1</v>
      </c>
      <c r="B162" s="44" t="s">
        <v>150</v>
      </c>
      <c r="C162" s="47"/>
      <c r="D162" s="76"/>
      <c r="E162" s="51"/>
      <c r="F162" s="51"/>
      <c r="G162" s="56"/>
      <c r="H162" s="261"/>
    </row>
    <row r="163" spans="1:8" s="68" customFormat="1" ht="30" hidden="1" x14ac:dyDescent="0.25">
      <c r="A163" s="68">
        <v>1</v>
      </c>
      <c r="B163" s="24" t="s">
        <v>119</v>
      </c>
      <c r="C163" s="22"/>
      <c r="D163" s="3">
        <v>8700</v>
      </c>
      <c r="E163" s="3"/>
      <c r="F163" s="3"/>
      <c r="G163" s="3"/>
      <c r="H163" s="241"/>
    </row>
    <row r="164" spans="1:8" s="46" customFormat="1" ht="15.75" hidden="1" customHeight="1" x14ac:dyDescent="0.25">
      <c r="A164" s="68">
        <v>1</v>
      </c>
      <c r="B164" s="24" t="s">
        <v>224</v>
      </c>
      <c r="C164" s="22"/>
      <c r="D164" s="3"/>
      <c r="E164" s="51"/>
      <c r="F164" s="51"/>
      <c r="G164" s="56"/>
      <c r="H164" s="261"/>
    </row>
    <row r="165" spans="1:8" s="46" customFormat="1" hidden="1" x14ac:dyDescent="0.25">
      <c r="A165" s="68">
        <v>1</v>
      </c>
      <c r="B165" s="53"/>
      <c r="C165" s="22"/>
      <c r="D165" s="3"/>
      <c r="E165" s="51"/>
      <c r="F165" s="51"/>
      <c r="G165" s="56"/>
      <c r="H165" s="261"/>
    </row>
    <row r="166" spans="1:8" s="46" customFormat="1" hidden="1" x14ac:dyDescent="0.25">
      <c r="A166" s="68">
        <v>1</v>
      </c>
      <c r="B166" s="54" t="s">
        <v>152</v>
      </c>
      <c r="C166" s="22"/>
      <c r="D166" s="18">
        <f>D141+ROUND((D160+D161)*3.2,0)+D163</f>
        <v>94259</v>
      </c>
      <c r="E166" s="51"/>
      <c r="F166" s="51"/>
      <c r="G166" s="56"/>
      <c r="H166" s="261"/>
    </row>
    <row r="167" spans="1:8" s="46" customFormat="1" hidden="1" x14ac:dyDescent="0.25">
      <c r="A167" s="68">
        <v>1</v>
      </c>
      <c r="B167" s="55" t="s">
        <v>151</v>
      </c>
      <c r="C167" s="22"/>
      <c r="D167" s="18">
        <f>SUM(D139,D166)</f>
        <v>163156</v>
      </c>
      <c r="E167" s="51"/>
      <c r="F167" s="51"/>
      <c r="G167" s="56"/>
      <c r="H167" s="261"/>
    </row>
    <row r="168" spans="1:8" s="46" customFormat="1" hidden="1" x14ac:dyDescent="0.25">
      <c r="A168" s="68">
        <v>1</v>
      </c>
      <c r="B168" s="279" t="s">
        <v>120</v>
      </c>
      <c r="C168" s="22"/>
      <c r="D168" s="202">
        <f>SUM(D169:D174)</f>
        <v>25590</v>
      </c>
      <c r="E168" s="280"/>
      <c r="F168" s="280"/>
      <c r="G168" s="18"/>
      <c r="H168" s="261"/>
    </row>
    <row r="169" spans="1:8" s="46" customFormat="1" hidden="1" x14ac:dyDescent="0.25">
      <c r="A169" s="68">
        <v>1</v>
      </c>
      <c r="B169" s="281" t="s">
        <v>17</v>
      </c>
      <c r="C169" s="22"/>
      <c r="D169" s="3">
        <v>4500</v>
      </c>
      <c r="E169" s="280"/>
      <c r="F169" s="280"/>
      <c r="G169" s="18"/>
      <c r="H169" s="261"/>
    </row>
    <row r="170" spans="1:8" s="46" customFormat="1" hidden="1" x14ac:dyDescent="0.25">
      <c r="A170" s="68">
        <v>1</v>
      </c>
      <c r="B170" s="281" t="s">
        <v>52</v>
      </c>
      <c r="C170" s="22"/>
      <c r="D170" s="3">
        <v>5500</v>
      </c>
      <c r="E170" s="280"/>
      <c r="F170" s="280"/>
      <c r="G170" s="18"/>
      <c r="H170" s="261"/>
    </row>
    <row r="171" spans="1:8" s="46" customFormat="1" hidden="1" x14ac:dyDescent="0.25">
      <c r="A171" s="68">
        <v>1</v>
      </c>
      <c r="B171" s="26" t="s">
        <v>228</v>
      </c>
      <c r="C171" s="22"/>
      <c r="D171" s="3">
        <v>1750</v>
      </c>
      <c r="E171" s="280"/>
      <c r="F171" s="280"/>
      <c r="G171" s="18"/>
      <c r="H171" s="261"/>
    </row>
    <row r="172" spans="1:8" s="46" customFormat="1" hidden="1" x14ac:dyDescent="0.25">
      <c r="A172" s="68"/>
      <c r="B172" s="26" t="s">
        <v>325</v>
      </c>
      <c r="C172" s="22"/>
      <c r="D172" s="3">
        <v>1750</v>
      </c>
      <c r="E172" s="280"/>
      <c r="F172" s="280"/>
      <c r="G172" s="18"/>
      <c r="H172" s="261"/>
    </row>
    <row r="173" spans="1:8" s="46" customFormat="1" hidden="1" x14ac:dyDescent="0.25">
      <c r="A173" s="68"/>
      <c r="B173" s="26" t="s">
        <v>16</v>
      </c>
      <c r="C173" s="22"/>
      <c r="D173" s="3">
        <v>90</v>
      </c>
      <c r="E173" s="280"/>
      <c r="F173" s="280"/>
      <c r="G173" s="18"/>
      <c r="H173" s="261"/>
    </row>
    <row r="174" spans="1:8" s="46" customFormat="1" ht="30" hidden="1" x14ac:dyDescent="0.25">
      <c r="A174" s="68"/>
      <c r="B174" s="210" t="s">
        <v>233</v>
      </c>
      <c r="C174" s="22"/>
      <c r="D174" s="3">
        <v>12000</v>
      </c>
      <c r="E174" s="280"/>
      <c r="F174" s="280"/>
      <c r="G174" s="18"/>
      <c r="H174" s="261"/>
    </row>
    <row r="175" spans="1:8" s="68" customFormat="1" ht="17.25" hidden="1" customHeight="1" x14ac:dyDescent="0.25">
      <c r="A175" s="68">
        <v>1</v>
      </c>
      <c r="B175" s="34" t="s">
        <v>7</v>
      </c>
      <c r="C175" s="2"/>
      <c r="D175" s="3"/>
      <c r="E175" s="3"/>
      <c r="F175" s="3"/>
      <c r="G175" s="3"/>
      <c r="H175" s="241"/>
    </row>
    <row r="176" spans="1:8" s="68" customFormat="1" hidden="1" x14ac:dyDescent="0.25">
      <c r="A176" s="68">
        <v>1</v>
      </c>
      <c r="B176" s="43" t="s">
        <v>139</v>
      </c>
      <c r="C176" s="2"/>
      <c r="D176" s="3"/>
      <c r="E176" s="3"/>
      <c r="F176" s="3"/>
      <c r="G176" s="3"/>
      <c r="H176" s="241"/>
    </row>
    <row r="177" spans="1:8" s="68" customFormat="1" hidden="1" x14ac:dyDescent="0.25">
      <c r="A177" s="68">
        <v>1</v>
      </c>
      <c r="B177" s="59" t="s">
        <v>14</v>
      </c>
      <c r="C177" s="2">
        <v>300</v>
      </c>
      <c r="D177" s="3">
        <v>230</v>
      </c>
      <c r="E177" s="60">
        <v>11</v>
      </c>
      <c r="F177" s="3">
        <f>ROUND(G177/C177,0)</f>
        <v>8</v>
      </c>
      <c r="G177" s="3">
        <f>ROUND(D177*E177,0)</f>
        <v>2530</v>
      </c>
      <c r="H177" s="241"/>
    </row>
    <row r="178" spans="1:8" s="68" customFormat="1" hidden="1" x14ac:dyDescent="0.25">
      <c r="A178" s="68">
        <v>1</v>
      </c>
      <c r="B178" s="37" t="s">
        <v>9</v>
      </c>
      <c r="C178" s="82"/>
      <c r="D178" s="35">
        <f t="shared" ref="D178" si="14">D177</f>
        <v>230</v>
      </c>
      <c r="E178" s="39">
        <f t="shared" ref="E178:G178" si="15">E177</f>
        <v>11</v>
      </c>
      <c r="F178" s="35">
        <f t="shared" si="15"/>
        <v>8</v>
      </c>
      <c r="G178" s="35">
        <f t="shared" si="15"/>
        <v>2530</v>
      </c>
      <c r="H178" s="241"/>
    </row>
    <row r="179" spans="1:8" s="68" customFormat="1" hidden="1" x14ac:dyDescent="0.25">
      <c r="A179" s="68">
        <v>1</v>
      </c>
      <c r="B179" s="43" t="s">
        <v>20</v>
      </c>
      <c r="C179" s="2"/>
      <c r="D179" s="35"/>
      <c r="E179" s="39"/>
      <c r="F179" s="35"/>
      <c r="G179" s="35"/>
      <c r="H179" s="241"/>
    </row>
    <row r="180" spans="1:8" s="68" customFormat="1" hidden="1" x14ac:dyDescent="0.25">
      <c r="A180" s="68">
        <v>1</v>
      </c>
      <c r="B180" s="1" t="s">
        <v>26</v>
      </c>
      <c r="C180" s="2">
        <v>240</v>
      </c>
      <c r="D180" s="3">
        <v>240</v>
      </c>
      <c r="E180" s="60">
        <v>8</v>
      </c>
      <c r="F180" s="3">
        <f>ROUND(G180/C180,0)</f>
        <v>8</v>
      </c>
      <c r="G180" s="3">
        <f>ROUND(D180*E180,0)</f>
        <v>1920</v>
      </c>
      <c r="H180" s="241"/>
    </row>
    <row r="181" spans="1:8" s="68" customFormat="1" hidden="1" x14ac:dyDescent="0.25">
      <c r="A181" s="68">
        <v>1</v>
      </c>
      <c r="B181" s="83" t="s">
        <v>141</v>
      </c>
      <c r="C181" s="84"/>
      <c r="D181" s="35">
        <f t="shared" ref="D181" si="16">D180</f>
        <v>240</v>
      </c>
      <c r="E181" s="85">
        <f t="shared" ref="E181:G181" si="17">E180</f>
        <v>8</v>
      </c>
      <c r="F181" s="35">
        <f t="shared" si="17"/>
        <v>8</v>
      </c>
      <c r="G181" s="35">
        <f t="shared" si="17"/>
        <v>1920</v>
      </c>
      <c r="H181" s="241"/>
    </row>
    <row r="182" spans="1:8" s="68" customFormat="1" ht="19.5" hidden="1" customHeight="1" x14ac:dyDescent="0.2">
      <c r="A182" s="68">
        <v>1</v>
      </c>
      <c r="B182" s="31" t="s">
        <v>116</v>
      </c>
      <c r="C182" s="22"/>
      <c r="D182" s="18">
        <f>D178+D181</f>
        <v>470</v>
      </c>
      <c r="E182" s="17">
        <f>G182/D182</f>
        <v>9.4680851063829792</v>
      </c>
      <c r="F182" s="18">
        <f>F178+F181</f>
        <v>16</v>
      </c>
      <c r="G182" s="18">
        <f>G178+G181</f>
        <v>4450</v>
      </c>
      <c r="H182" s="241"/>
    </row>
    <row r="183" spans="1:8" s="68" customFormat="1" hidden="1" thickBot="1" x14ac:dyDescent="0.25">
      <c r="A183" s="68">
        <v>1</v>
      </c>
      <c r="B183" s="270" t="s">
        <v>10</v>
      </c>
      <c r="C183" s="255"/>
      <c r="D183" s="255"/>
      <c r="E183" s="255"/>
      <c r="F183" s="255"/>
      <c r="G183" s="255"/>
      <c r="H183" s="241"/>
    </row>
    <row r="184" spans="1:8" ht="24.75" hidden="1" customHeight="1" x14ac:dyDescent="0.25">
      <c r="A184" s="68">
        <v>1</v>
      </c>
      <c r="B184" s="278" t="s">
        <v>144</v>
      </c>
      <c r="C184" s="273"/>
      <c r="D184" s="3"/>
      <c r="E184" s="3"/>
      <c r="F184" s="3"/>
      <c r="G184" s="3"/>
    </row>
    <row r="185" spans="1:8" hidden="1" x14ac:dyDescent="0.25">
      <c r="A185" s="68">
        <v>1</v>
      </c>
      <c r="B185" s="69" t="s">
        <v>4</v>
      </c>
      <c r="C185" s="2"/>
      <c r="D185" s="3"/>
      <c r="E185" s="3"/>
      <c r="F185" s="3"/>
      <c r="G185" s="3"/>
    </row>
    <row r="186" spans="1:8" hidden="1" x14ac:dyDescent="0.25">
      <c r="A186" s="68">
        <v>1</v>
      </c>
      <c r="B186" s="59" t="s">
        <v>42</v>
      </c>
      <c r="C186" s="2">
        <v>320</v>
      </c>
      <c r="D186" s="3">
        <v>2145</v>
      </c>
      <c r="E186" s="60">
        <v>10.5</v>
      </c>
      <c r="F186" s="3">
        <f>ROUND(G186/C186,0)</f>
        <v>70</v>
      </c>
      <c r="G186" s="3">
        <f>ROUND(D186*E186,0)</f>
        <v>22523</v>
      </c>
    </row>
    <row r="187" spans="1:8" hidden="1" x14ac:dyDescent="0.25">
      <c r="A187" s="68">
        <v>1</v>
      </c>
      <c r="B187" s="54" t="s">
        <v>5</v>
      </c>
      <c r="C187" s="2">
        <v>320</v>
      </c>
      <c r="D187" s="18">
        <f>D186</f>
        <v>2145</v>
      </c>
      <c r="E187" s="17">
        <f>G187/D187</f>
        <v>10.5002331002331</v>
      </c>
      <c r="F187" s="18">
        <f>F186</f>
        <v>70</v>
      </c>
      <c r="G187" s="18">
        <f>G186</f>
        <v>22523</v>
      </c>
    </row>
    <row r="188" spans="1:8" s="46" customFormat="1" ht="18.75" hidden="1" customHeight="1" x14ac:dyDescent="0.25">
      <c r="A188" s="68">
        <v>1</v>
      </c>
      <c r="B188" s="21" t="s">
        <v>205</v>
      </c>
      <c r="C188" s="21"/>
      <c r="D188" s="74"/>
      <c r="E188" s="45"/>
      <c r="F188" s="45"/>
      <c r="G188" s="45"/>
      <c r="H188" s="261"/>
    </row>
    <row r="189" spans="1:8" s="46" customFormat="1" ht="30" hidden="1" x14ac:dyDescent="0.25">
      <c r="A189" s="68">
        <v>1</v>
      </c>
      <c r="B189" s="23" t="s">
        <v>322</v>
      </c>
      <c r="C189" s="47"/>
      <c r="D189" s="45">
        <f>SUM(D190,D191,D192,D193)</f>
        <v>9642</v>
      </c>
      <c r="E189" s="45"/>
      <c r="F189" s="45"/>
      <c r="G189" s="45"/>
      <c r="H189" s="261"/>
    </row>
    <row r="190" spans="1:8" s="46" customFormat="1" hidden="1" x14ac:dyDescent="0.25">
      <c r="A190" s="68">
        <v>1</v>
      </c>
      <c r="B190" s="48" t="s">
        <v>206</v>
      </c>
      <c r="C190" s="47"/>
      <c r="D190" s="45"/>
      <c r="E190" s="45"/>
      <c r="F190" s="45"/>
      <c r="G190" s="45"/>
      <c r="H190" s="261"/>
    </row>
    <row r="191" spans="1:8" s="46" customFormat="1" ht="17.25" hidden="1" customHeight="1" x14ac:dyDescent="0.25">
      <c r="A191" s="68">
        <v>1</v>
      </c>
      <c r="B191" s="48" t="s">
        <v>207</v>
      </c>
      <c r="C191" s="47"/>
      <c r="D191" s="3">
        <v>936</v>
      </c>
      <c r="E191" s="45"/>
      <c r="F191" s="45"/>
      <c r="G191" s="45"/>
      <c r="H191" s="261"/>
    </row>
    <row r="192" spans="1:8" s="46" customFormat="1" ht="30" hidden="1" x14ac:dyDescent="0.25">
      <c r="A192" s="68">
        <v>1</v>
      </c>
      <c r="B192" s="48" t="s">
        <v>208</v>
      </c>
      <c r="C192" s="47"/>
      <c r="D192" s="3">
        <v>706</v>
      </c>
      <c r="E192" s="45"/>
      <c r="F192" s="45"/>
      <c r="G192" s="45"/>
      <c r="H192" s="261"/>
    </row>
    <row r="193" spans="1:8" s="46" customFormat="1" hidden="1" x14ac:dyDescent="0.25">
      <c r="A193" s="68">
        <v>1</v>
      </c>
      <c r="B193" s="23" t="s">
        <v>209</v>
      </c>
      <c r="C193" s="47"/>
      <c r="D193" s="3">
        <v>8000</v>
      </c>
      <c r="E193" s="45"/>
      <c r="F193" s="45"/>
      <c r="G193" s="45"/>
      <c r="H193" s="261"/>
    </row>
    <row r="194" spans="1:8" s="46" customFormat="1" hidden="1" x14ac:dyDescent="0.25">
      <c r="A194" s="68">
        <v>1</v>
      </c>
      <c r="B194" s="23"/>
      <c r="C194" s="47"/>
      <c r="D194" s="3"/>
      <c r="E194" s="76"/>
      <c r="F194" s="76"/>
      <c r="G194" s="76"/>
      <c r="H194" s="261"/>
    </row>
    <row r="195" spans="1:8" hidden="1" x14ac:dyDescent="0.25">
      <c r="A195" s="68">
        <v>1</v>
      </c>
      <c r="B195" s="24" t="s">
        <v>118</v>
      </c>
      <c r="C195" s="22"/>
      <c r="D195" s="3">
        <v>50000</v>
      </c>
      <c r="E195" s="3"/>
      <c r="F195" s="3"/>
      <c r="G195" s="3"/>
    </row>
    <row r="196" spans="1:8" s="46" customFormat="1" hidden="1" x14ac:dyDescent="0.25">
      <c r="A196" s="68">
        <v>1</v>
      </c>
      <c r="B196" s="44" t="s">
        <v>150</v>
      </c>
      <c r="C196" s="262"/>
      <c r="D196" s="3"/>
      <c r="E196" s="45"/>
      <c r="F196" s="45"/>
      <c r="G196" s="45"/>
      <c r="H196" s="261"/>
    </row>
    <row r="197" spans="1:8" s="46" customFormat="1" ht="15.75" hidden="1" customHeight="1" x14ac:dyDescent="0.25">
      <c r="A197" s="68">
        <v>1</v>
      </c>
      <c r="B197" s="49" t="s">
        <v>210</v>
      </c>
      <c r="C197" s="50"/>
      <c r="D197" s="47">
        <f>D189+ROUND(D195*3.2,0)</f>
        <v>169642</v>
      </c>
      <c r="E197" s="51"/>
      <c r="F197" s="51"/>
      <c r="G197" s="56"/>
      <c r="H197" s="261"/>
    </row>
    <row r="198" spans="1:8" s="46" customFormat="1" ht="15.75" hidden="1" customHeight="1" x14ac:dyDescent="0.25">
      <c r="A198" s="68">
        <v>1</v>
      </c>
      <c r="B198" s="21" t="s">
        <v>153</v>
      </c>
      <c r="C198" s="22"/>
      <c r="D198" s="3"/>
      <c r="E198" s="51"/>
      <c r="F198" s="51"/>
      <c r="G198" s="56"/>
      <c r="H198" s="261"/>
    </row>
    <row r="199" spans="1:8" s="46" customFormat="1" ht="30" hidden="1" x14ac:dyDescent="0.25">
      <c r="A199" s="68">
        <v>1</v>
      </c>
      <c r="B199" s="23" t="s">
        <v>322</v>
      </c>
      <c r="C199" s="22"/>
      <c r="D199" s="3">
        <f>SUM(D200,D201,D208,D214,D215,D216)</f>
        <v>102182</v>
      </c>
      <c r="E199" s="51"/>
      <c r="F199" s="51"/>
      <c r="G199" s="56"/>
      <c r="H199" s="261"/>
    </row>
    <row r="200" spans="1:8" s="46" customFormat="1" ht="15.75" hidden="1" customHeight="1" x14ac:dyDescent="0.25">
      <c r="A200" s="68">
        <v>1</v>
      </c>
      <c r="B200" s="23" t="s">
        <v>206</v>
      </c>
      <c r="C200" s="22"/>
      <c r="D200" s="3"/>
      <c r="E200" s="51"/>
      <c r="F200" s="51"/>
      <c r="G200" s="56"/>
      <c r="H200" s="261"/>
    </row>
    <row r="201" spans="1:8" s="46" customFormat="1" ht="15.75" hidden="1" customHeight="1" x14ac:dyDescent="0.25">
      <c r="A201" s="68">
        <v>1</v>
      </c>
      <c r="B201" s="48" t="s">
        <v>211</v>
      </c>
      <c r="C201" s="22"/>
      <c r="D201" s="3">
        <f>D202+D203+D204+D206</f>
        <v>2917</v>
      </c>
      <c r="E201" s="51"/>
      <c r="F201" s="51"/>
      <c r="G201" s="56"/>
      <c r="H201" s="261"/>
    </row>
    <row r="202" spans="1:8" s="46" customFormat="1" ht="19.5" hidden="1" customHeight="1" x14ac:dyDescent="0.25">
      <c r="A202" s="68">
        <v>1</v>
      </c>
      <c r="B202" s="52" t="s">
        <v>212</v>
      </c>
      <c r="C202" s="22"/>
      <c r="D202" s="45"/>
      <c r="E202" s="51"/>
      <c r="F202" s="51"/>
      <c r="G202" s="56"/>
      <c r="H202" s="261"/>
    </row>
    <row r="203" spans="1:8" s="46" customFormat="1" ht="15.75" hidden="1" customHeight="1" x14ac:dyDescent="0.25">
      <c r="A203" s="68">
        <v>1</v>
      </c>
      <c r="B203" s="52" t="s">
        <v>213</v>
      </c>
      <c r="C203" s="22"/>
      <c r="D203" s="45"/>
      <c r="E203" s="51"/>
      <c r="F203" s="51"/>
      <c r="G203" s="56"/>
      <c r="H203" s="261"/>
    </row>
    <row r="204" spans="1:8" s="46" customFormat="1" ht="30.75" hidden="1" customHeight="1" x14ac:dyDescent="0.25">
      <c r="A204" s="68">
        <v>1</v>
      </c>
      <c r="B204" s="52" t="s">
        <v>214</v>
      </c>
      <c r="C204" s="22"/>
      <c r="D204" s="45">
        <v>2198</v>
      </c>
      <c r="E204" s="51"/>
      <c r="F204" s="51"/>
      <c r="G204" s="56"/>
      <c r="H204" s="261"/>
    </row>
    <row r="205" spans="1:8" s="46" customFormat="1" hidden="1" x14ac:dyDescent="0.25">
      <c r="A205" s="68">
        <v>1</v>
      </c>
      <c r="B205" s="52" t="s">
        <v>215</v>
      </c>
      <c r="C205" s="22"/>
      <c r="D205" s="45">
        <v>219</v>
      </c>
      <c r="E205" s="51"/>
      <c r="F205" s="51"/>
      <c r="G205" s="56"/>
      <c r="H205" s="261"/>
    </row>
    <row r="206" spans="1:8" s="46" customFormat="1" ht="30" hidden="1" x14ac:dyDescent="0.25">
      <c r="A206" s="68">
        <v>1</v>
      </c>
      <c r="B206" s="52" t="s">
        <v>216</v>
      </c>
      <c r="C206" s="22"/>
      <c r="D206" s="45">
        <v>719</v>
      </c>
      <c r="E206" s="51"/>
      <c r="F206" s="51"/>
      <c r="G206" s="56"/>
      <c r="H206" s="261"/>
    </row>
    <row r="207" spans="1:8" s="46" customFormat="1" hidden="1" x14ac:dyDescent="0.25">
      <c r="A207" s="68">
        <v>1</v>
      </c>
      <c r="B207" s="52" t="s">
        <v>215</v>
      </c>
      <c r="C207" s="22"/>
      <c r="D207" s="76">
        <v>110</v>
      </c>
      <c r="E207" s="51"/>
      <c r="F207" s="51"/>
      <c r="G207" s="56"/>
      <c r="H207" s="261"/>
    </row>
    <row r="208" spans="1:8" s="46" customFormat="1" ht="30" hidden="1" customHeight="1" x14ac:dyDescent="0.25">
      <c r="A208" s="68">
        <v>1</v>
      </c>
      <c r="B208" s="48" t="s">
        <v>217</v>
      </c>
      <c r="C208" s="22"/>
      <c r="D208" s="3">
        <f>SUM(D209,D210,D212)</f>
        <v>99265</v>
      </c>
      <c r="E208" s="51"/>
      <c r="F208" s="51"/>
      <c r="G208" s="56"/>
      <c r="H208" s="261"/>
    </row>
    <row r="209" spans="1:8" s="46" customFormat="1" ht="30" hidden="1" x14ac:dyDescent="0.25">
      <c r="A209" s="68">
        <v>1</v>
      </c>
      <c r="B209" s="52" t="s">
        <v>218</v>
      </c>
      <c r="C209" s="22"/>
      <c r="D209" s="3"/>
      <c r="E209" s="51"/>
      <c r="F209" s="51"/>
      <c r="G209" s="56"/>
      <c r="H209" s="261"/>
    </row>
    <row r="210" spans="1:8" s="46" customFormat="1" ht="45" hidden="1" x14ac:dyDescent="0.25">
      <c r="A210" s="68">
        <v>1</v>
      </c>
      <c r="B210" s="52" t="s">
        <v>219</v>
      </c>
      <c r="C210" s="22"/>
      <c r="D210" s="42">
        <v>95095</v>
      </c>
      <c r="E210" s="51"/>
      <c r="F210" s="51"/>
      <c r="G210" s="56"/>
      <c r="H210" s="261"/>
    </row>
    <row r="211" spans="1:8" s="46" customFormat="1" hidden="1" x14ac:dyDescent="0.25">
      <c r="A211" s="68">
        <v>1</v>
      </c>
      <c r="B211" s="52" t="s">
        <v>215</v>
      </c>
      <c r="C211" s="22"/>
      <c r="D211" s="42">
        <v>23005</v>
      </c>
      <c r="E211" s="51"/>
      <c r="F211" s="51"/>
      <c r="G211" s="56"/>
      <c r="H211" s="261"/>
    </row>
    <row r="212" spans="1:8" s="46" customFormat="1" ht="45" hidden="1" x14ac:dyDescent="0.25">
      <c r="A212" s="68">
        <v>1</v>
      </c>
      <c r="B212" s="52" t="s">
        <v>220</v>
      </c>
      <c r="C212" s="22"/>
      <c r="D212" s="42">
        <v>4170</v>
      </c>
      <c r="E212" s="51"/>
      <c r="F212" s="51"/>
      <c r="G212" s="56"/>
      <c r="H212" s="261"/>
    </row>
    <row r="213" spans="1:8" s="46" customFormat="1" hidden="1" x14ac:dyDescent="0.25">
      <c r="A213" s="68">
        <v>1</v>
      </c>
      <c r="B213" s="52" t="s">
        <v>215</v>
      </c>
      <c r="C213" s="22"/>
      <c r="D213" s="42">
        <v>2800</v>
      </c>
      <c r="E213" s="51"/>
      <c r="F213" s="51"/>
      <c r="G213" s="56"/>
      <c r="H213" s="261"/>
    </row>
    <row r="214" spans="1:8" s="46" customFormat="1" ht="31.5" hidden="1" customHeight="1" x14ac:dyDescent="0.25">
      <c r="A214" s="68">
        <v>1</v>
      </c>
      <c r="B214" s="48" t="s">
        <v>221</v>
      </c>
      <c r="C214" s="22"/>
      <c r="D214" s="3"/>
      <c r="E214" s="51"/>
      <c r="F214" s="51"/>
      <c r="G214" s="56"/>
      <c r="H214" s="261"/>
    </row>
    <row r="215" spans="1:8" s="46" customFormat="1" ht="15.75" hidden="1" customHeight="1" x14ac:dyDescent="0.25">
      <c r="A215" s="68">
        <v>1</v>
      </c>
      <c r="B215" s="48" t="s">
        <v>222</v>
      </c>
      <c r="C215" s="22"/>
      <c r="D215" s="3"/>
      <c r="E215" s="51"/>
      <c r="F215" s="51"/>
      <c r="G215" s="56"/>
      <c r="H215" s="261"/>
    </row>
    <row r="216" spans="1:8" s="46" customFormat="1" ht="15.75" hidden="1" customHeight="1" x14ac:dyDescent="0.25">
      <c r="A216" s="68">
        <v>1</v>
      </c>
      <c r="B216" s="23" t="s">
        <v>223</v>
      </c>
      <c r="C216" s="22"/>
      <c r="D216" s="3"/>
      <c r="E216" s="51"/>
      <c r="F216" s="51"/>
      <c r="G216" s="56"/>
      <c r="H216" s="261"/>
    </row>
    <row r="217" spans="1:8" s="46" customFormat="1" hidden="1" x14ac:dyDescent="0.25">
      <c r="A217" s="68">
        <v>1</v>
      </c>
      <c r="B217" s="24" t="s">
        <v>118</v>
      </c>
      <c r="C217" s="47"/>
      <c r="D217" s="45"/>
      <c r="E217" s="51"/>
      <c r="F217" s="51"/>
      <c r="G217" s="56"/>
      <c r="H217" s="261"/>
    </row>
    <row r="218" spans="1:8" s="46" customFormat="1" hidden="1" x14ac:dyDescent="0.25">
      <c r="A218" s="68">
        <v>1</v>
      </c>
      <c r="B218" s="44" t="s">
        <v>150</v>
      </c>
      <c r="C218" s="47"/>
      <c r="D218" s="76"/>
      <c r="E218" s="51"/>
      <c r="F218" s="51"/>
      <c r="G218" s="56"/>
      <c r="H218" s="261"/>
    </row>
    <row r="219" spans="1:8" ht="30" hidden="1" x14ac:dyDescent="0.25">
      <c r="A219" s="68">
        <v>1</v>
      </c>
      <c r="B219" s="24" t="s">
        <v>119</v>
      </c>
      <c r="C219" s="22"/>
      <c r="D219" s="3">
        <f>17187-200</f>
        <v>16987</v>
      </c>
      <c r="E219" s="3"/>
      <c r="F219" s="3"/>
      <c r="G219" s="3"/>
    </row>
    <row r="220" spans="1:8" s="46" customFormat="1" ht="15.75" hidden="1" customHeight="1" x14ac:dyDescent="0.25">
      <c r="A220" s="68">
        <v>1</v>
      </c>
      <c r="B220" s="24" t="s">
        <v>224</v>
      </c>
      <c r="C220" s="22"/>
      <c r="D220" s="3"/>
      <c r="E220" s="51"/>
      <c r="F220" s="51"/>
      <c r="G220" s="56"/>
      <c r="H220" s="261"/>
    </row>
    <row r="221" spans="1:8" s="46" customFormat="1" ht="45" hidden="1" x14ac:dyDescent="0.25">
      <c r="A221" s="68">
        <v>1</v>
      </c>
      <c r="B221" s="24" t="s">
        <v>296</v>
      </c>
      <c r="C221" s="22"/>
      <c r="D221" s="3">
        <v>200</v>
      </c>
      <c r="E221" s="51"/>
      <c r="F221" s="51"/>
      <c r="G221" s="56"/>
      <c r="H221" s="261"/>
    </row>
    <row r="222" spans="1:8" s="46" customFormat="1" hidden="1" x14ac:dyDescent="0.25">
      <c r="A222" s="68">
        <v>1</v>
      </c>
      <c r="B222" s="54" t="s">
        <v>152</v>
      </c>
      <c r="C222" s="22"/>
      <c r="D222" s="18">
        <f>D199+ROUND(D217*3.2,0)+D219+D221</f>
        <v>119369</v>
      </c>
      <c r="E222" s="51"/>
      <c r="F222" s="51"/>
      <c r="G222" s="56"/>
      <c r="H222" s="261"/>
    </row>
    <row r="223" spans="1:8" s="46" customFormat="1" hidden="1" x14ac:dyDescent="0.25">
      <c r="A223" s="68">
        <v>1</v>
      </c>
      <c r="B223" s="55" t="s">
        <v>151</v>
      </c>
      <c r="C223" s="22"/>
      <c r="D223" s="18">
        <f>SUM(D197,D222)</f>
        <v>289011</v>
      </c>
      <c r="E223" s="51"/>
      <c r="F223" s="51"/>
      <c r="G223" s="56"/>
      <c r="H223" s="261"/>
    </row>
    <row r="224" spans="1:8" hidden="1" x14ac:dyDescent="0.25">
      <c r="A224" s="68">
        <v>1</v>
      </c>
      <c r="B224" s="34" t="s">
        <v>7</v>
      </c>
      <c r="C224" s="22"/>
      <c r="D224" s="3"/>
      <c r="E224" s="3"/>
      <c r="F224" s="3"/>
      <c r="G224" s="3"/>
    </row>
    <row r="225" spans="1:8" hidden="1" x14ac:dyDescent="0.25">
      <c r="A225" s="68">
        <v>1</v>
      </c>
      <c r="B225" s="86" t="s">
        <v>139</v>
      </c>
      <c r="C225" s="22"/>
      <c r="D225" s="3"/>
      <c r="E225" s="3"/>
      <c r="F225" s="3"/>
      <c r="G225" s="3"/>
    </row>
    <row r="226" spans="1:8" hidden="1" x14ac:dyDescent="0.25">
      <c r="A226" s="68">
        <v>1</v>
      </c>
      <c r="B226" s="1" t="s">
        <v>42</v>
      </c>
      <c r="C226" s="2">
        <v>300</v>
      </c>
      <c r="D226" s="3"/>
      <c r="E226" s="60">
        <v>9</v>
      </c>
      <c r="F226" s="3">
        <f>ROUND(G226/C226,0)</f>
        <v>0</v>
      </c>
      <c r="G226" s="3">
        <f>ROUND(D226*E226,0)</f>
        <v>0</v>
      </c>
    </row>
    <row r="227" spans="1:8" hidden="1" x14ac:dyDescent="0.25">
      <c r="A227" s="68">
        <v>1</v>
      </c>
      <c r="B227" s="264" t="s">
        <v>9</v>
      </c>
      <c r="C227" s="22"/>
      <c r="D227" s="18">
        <f>D226</f>
        <v>0</v>
      </c>
      <c r="E227" s="17" t="e">
        <f>G227/D227</f>
        <v>#DIV/0!</v>
      </c>
      <c r="F227" s="18">
        <f>F226</f>
        <v>0</v>
      </c>
      <c r="G227" s="18">
        <f>G226</f>
        <v>0</v>
      </c>
    </row>
    <row r="228" spans="1:8" hidden="1" x14ac:dyDescent="0.25">
      <c r="A228" s="68">
        <v>1</v>
      </c>
      <c r="B228" s="43" t="s">
        <v>20</v>
      </c>
      <c r="C228" s="22"/>
      <c r="D228" s="18"/>
      <c r="E228" s="17"/>
      <c r="F228" s="18"/>
      <c r="G228" s="18"/>
    </row>
    <row r="229" spans="1:8" s="68" customFormat="1" hidden="1" x14ac:dyDescent="0.25">
      <c r="A229" s="68">
        <v>1</v>
      </c>
      <c r="B229" s="1" t="s">
        <v>26</v>
      </c>
      <c r="C229" s="2">
        <v>240</v>
      </c>
      <c r="D229" s="3">
        <v>323</v>
      </c>
      <c r="E229" s="60">
        <v>8</v>
      </c>
      <c r="F229" s="3">
        <f>ROUND(G229/C229,0)</f>
        <v>11</v>
      </c>
      <c r="G229" s="3">
        <f>ROUND(D229*E229,0)</f>
        <v>2584</v>
      </c>
      <c r="H229" s="241"/>
    </row>
    <row r="230" spans="1:8" s="68" customFormat="1" hidden="1" x14ac:dyDescent="0.25">
      <c r="A230" s="68">
        <v>1</v>
      </c>
      <c r="B230" s="282" t="s">
        <v>57</v>
      </c>
      <c r="C230" s="2">
        <v>240</v>
      </c>
      <c r="D230" s="3">
        <v>795</v>
      </c>
      <c r="E230" s="60">
        <v>8</v>
      </c>
      <c r="F230" s="3">
        <f>ROUND(G230/C230,0)</f>
        <v>27</v>
      </c>
      <c r="G230" s="3">
        <f>ROUND(D230*E230,0)</f>
        <v>6360</v>
      </c>
      <c r="H230" s="241"/>
    </row>
    <row r="231" spans="1:8" s="68" customFormat="1" hidden="1" x14ac:dyDescent="0.25">
      <c r="A231" s="68">
        <v>1</v>
      </c>
      <c r="B231" s="83" t="s">
        <v>141</v>
      </c>
      <c r="C231" s="2"/>
      <c r="D231" s="35">
        <f>SUM(D229:D230)</f>
        <v>1118</v>
      </c>
      <c r="E231" s="85">
        <f t="shared" ref="E231" si="18">E229</f>
        <v>8</v>
      </c>
      <c r="F231" s="35">
        <f t="shared" ref="F231:G231" si="19">SUM(F229:F230)</f>
        <v>38</v>
      </c>
      <c r="G231" s="35">
        <f t="shared" si="19"/>
        <v>8944</v>
      </c>
      <c r="H231" s="241"/>
    </row>
    <row r="232" spans="1:8" ht="21.75" hidden="1" customHeight="1" x14ac:dyDescent="0.25">
      <c r="A232" s="68">
        <v>1</v>
      </c>
      <c r="B232" s="31" t="s">
        <v>116</v>
      </c>
      <c r="C232" s="22"/>
      <c r="D232" s="18">
        <f>D227+D231</f>
        <v>1118</v>
      </c>
      <c r="E232" s="17">
        <f>G232/D232</f>
        <v>8</v>
      </c>
      <c r="F232" s="18">
        <f>F227+F231</f>
        <v>38</v>
      </c>
      <c r="G232" s="18">
        <f>G227+G231</f>
        <v>8944</v>
      </c>
    </row>
    <row r="233" spans="1:8" s="68" customFormat="1" ht="16.5" hidden="1" customHeight="1" thickBot="1" x14ac:dyDescent="0.25">
      <c r="A233" s="68">
        <v>1</v>
      </c>
      <c r="B233" s="283" t="s">
        <v>10</v>
      </c>
      <c r="C233" s="254"/>
      <c r="D233" s="255"/>
      <c r="E233" s="255"/>
      <c r="F233" s="255"/>
      <c r="G233" s="255"/>
      <c r="H233" s="241"/>
    </row>
    <row r="234" spans="1:8" s="68" customFormat="1" ht="22.5" hidden="1" customHeight="1" x14ac:dyDescent="0.25">
      <c r="A234" s="68">
        <v>1</v>
      </c>
      <c r="B234" s="284" t="s">
        <v>123</v>
      </c>
      <c r="C234" s="63"/>
      <c r="D234" s="3"/>
      <c r="E234" s="3"/>
      <c r="F234" s="3"/>
      <c r="G234" s="3"/>
      <c r="H234" s="241"/>
    </row>
    <row r="235" spans="1:8" s="68" customFormat="1" hidden="1" x14ac:dyDescent="0.25">
      <c r="A235" s="68">
        <v>1</v>
      </c>
      <c r="B235" s="69" t="s">
        <v>4</v>
      </c>
      <c r="C235" s="63"/>
      <c r="D235" s="3"/>
      <c r="E235" s="3"/>
      <c r="F235" s="3"/>
      <c r="G235" s="3"/>
      <c r="H235" s="241"/>
    </row>
    <row r="236" spans="1:8" s="68" customFormat="1" hidden="1" x14ac:dyDescent="0.25">
      <c r="A236" s="68">
        <v>1</v>
      </c>
      <c r="B236" s="59" t="s">
        <v>28</v>
      </c>
      <c r="C236" s="2">
        <v>300</v>
      </c>
      <c r="D236" s="3">
        <f>1860+25</f>
        <v>1885</v>
      </c>
      <c r="E236" s="60">
        <v>5.7</v>
      </c>
      <c r="F236" s="3">
        <f>ROUND(G236/C236,0)</f>
        <v>36</v>
      </c>
      <c r="G236" s="3">
        <f>ROUND(D236*E236,0)</f>
        <v>10745</v>
      </c>
      <c r="H236" s="241"/>
    </row>
    <row r="237" spans="1:8" hidden="1" x14ac:dyDescent="0.25">
      <c r="A237" s="68">
        <v>1</v>
      </c>
      <c r="B237" s="59" t="s">
        <v>24</v>
      </c>
      <c r="C237" s="2">
        <v>340</v>
      </c>
      <c r="D237" s="3">
        <v>1385</v>
      </c>
      <c r="E237" s="60">
        <v>6</v>
      </c>
      <c r="F237" s="3">
        <f>ROUND(G237/C237,0)</f>
        <v>24</v>
      </c>
      <c r="G237" s="3">
        <f>ROUND(D237*E237,0)</f>
        <v>8310</v>
      </c>
    </row>
    <row r="238" spans="1:8" hidden="1" x14ac:dyDescent="0.25">
      <c r="A238" s="68"/>
      <c r="B238" s="36" t="s">
        <v>183</v>
      </c>
      <c r="C238" s="5">
        <v>330</v>
      </c>
      <c r="D238" s="13">
        <v>23</v>
      </c>
      <c r="E238" s="14">
        <v>8</v>
      </c>
      <c r="F238" s="3">
        <f>ROUND(G238/C238,0)</f>
        <v>1</v>
      </c>
      <c r="G238" s="13">
        <f>ROUND(D238*E238,0)</f>
        <v>184</v>
      </c>
    </row>
    <row r="239" spans="1:8" hidden="1" x14ac:dyDescent="0.25">
      <c r="A239" s="68">
        <v>1</v>
      </c>
      <c r="B239" s="54" t="s">
        <v>5</v>
      </c>
      <c r="C239" s="63"/>
      <c r="D239" s="18">
        <f>SUM(D236:D238)</f>
        <v>3293</v>
      </c>
      <c r="E239" s="17">
        <f>G239/D239</f>
        <v>5.8423929547525058</v>
      </c>
      <c r="F239" s="18">
        <f>SUM(F236:F238)</f>
        <v>61</v>
      </c>
      <c r="G239" s="18">
        <f>SUM(G236:G238)</f>
        <v>19239</v>
      </c>
    </row>
    <row r="240" spans="1:8" s="68" customFormat="1" hidden="1" x14ac:dyDescent="0.25">
      <c r="A240" s="68">
        <v>1</v>
      </c>
      <c r="B240" s="21" t="s">
        <v>185</v>
      </c>
      <c r="C240" s="22"/>
      <c r="D240" s="3"/>
      <c r="E240" s="3"/>
      <c r="F240" s="3"/>
      <c r="G240" s="3"/>
      <c r="H240" s="241"/>
    </row>
    <row r="241" spans="1:8" s="68" customFormat="1" ht="30" hidden="1" x14ac:dyDescent="0.25">
      <c r="A241" s="68">
        <v>1</v>
      </c>
      <c r="B241" s="23" t="s">
        <v>322</v>
      </c>
      <c r="C241" s="22"/>
      <c r="D241" s="3">
        <f>D243+D242/2.7</f>
        <v>49698.666666666664</v>
      </c>
      <c r="E241" s="3"/>
      <c r="F241" s="3"/>
      <c r="G241" s="3"/>
      <c r="H241" s="241"/>
    </row>
    <row r="242" spans="1:8" s="68" customFormat="1" hidden="1" x14ac:dyDescent="0.25">
      <c r="A242" s="68">
        <v>1</v>
      </c>
      <c r="B242" s="23" t="s">
        <v>286</v>
      </c>
      <c r="C242" s="28"/>
      <c r="D242" s="3">
        <v>3150</v>
      </c>
      <c r="E242" s="28"/>
      <c r="F242" s="28"/>
      <c r="G242" s="28"/>
      <c r="H242" s="241"/>
    </row>
    <row r="243" spans="1:8" s="68" customFormat="1" hidden="1" x14ac:dyDescent="0.25">
      <c r="A243" s="68">
        <v>1</v>
      </c>
      <c r="B243" s="23" t="s">
        <v>223</v>
      </c>
      <c r="C243" s="22"/>
      <c r="D243" s="3">
        <v>48532</v>
      </c>
      <c r="E243" s="3"/>
      <c r="F243" s="3"/>
      <c r="G243" s="3"/>
      <c r="H243" s="241"/>
    </row>
    <row r="244" spans="1:8" s="68" customFormat="1" hidden="1" x14ac:dyDescent="0.25">
      <c r="A244" s="68">
        <v>1</v>
      </c>
      <c r="B244" s="24" t="s">
        <v>118</v>
      </c>
      <c r="C244" s="22"/>
      <c r="D244" s="3">
        <f>D245+D246</f>
        <v>28211</v>
      </c>
      <c r="E244" s="3"/>
      <c r="F244" s="3"/>
      <c r="G244" s="3"/>
      <c r="H244" s="241"/>
    </row>
    <row r="245" spans="1:8" s="68" customFormat="1" hidden="1" x14ac:dyDescent="0.25">
      <c r="A245" s="68">
        <v>1</v>
      </c>
      <c r="B245" s="24" t="s">
        <v>259</v>
      </c>
      <c r="C245" s="22"/>
      <c r="D245" s="3">
        <v>27611</v>
      </c>
      <c r="E245" s="3"/>
      <c r="F245" s="3"/>
      <c r="G245" s="3"/>
      <c r="H245" s="241"/>
    </row>
    <row r="246" spans="1:8" s="68" customFormat="1" hidden="1" x14ac:dyDescent="0.25">
      <c r="A246" s="68">
        <v>1</v>
      </c>
      <c r="B246" s="24" t="s">
        <v>261</v>
      </c>
      <c r="C246" s="22"/>
      <c r="D246" s="3">
        <f>D247/8.5</f>
        <v>600</v>
      </c>
      <c r="E246" s="3"/>
      <c r="F246" s="3"/>
      <c r="G246" s="3"/>
      <c r="H246" s="241"/>
    </row>
    <row r="247" spans="1:8" s="68" customFormat="1" hidden="1" x14ac:dyDescent="0.25">
      <c r="A247" s="68">
        <v>1</v>
      </c>
      <c r="B247" s="44" t="s">
        <v>260</v>
      </c>
      <c r="C247" s="22"/>
      <c r="D247" s="3">
        <f>10162-2162-2900</f>
        <v>5100</v>
      </c>
      <c r="E247" s="3"/>
      <c r="F247" s="3"/>
      <c r="G247" s="3"/>
      <c r="H247" s="241"/>
    </row>
    <row r="248" spans="1:8" s="68" customFormat="1" ht="30" hidden="1" x14ac:dyDescent="0.25">
      <c r="A248" s="68">
        <v>1</v>
      </c>
      <c r="B248" s="24" t="s">
        <v>119</v>
      </c>
      <c r="C248" s="22"/>
      <c r="D248" s="3"/>
      <c r="E248" s="3"/>
      <c r="F248" s="3"/>
      <c r="G248" s="3"/>
      <c r="H248" s="241"/>
    </row>
    <row r="249" spans="1:8" s="68" customFormat="1" ht="45" hidden="1" x14ac:dyDescent="0.25">
      <c r="B249" s="669" t="s">
        <v>296</v>
      </c>
      <c r="C249" s="22"/>
      <c r="D249" s="3">
        <v>250</v>
      </c>
      <c r="E249" s="3"/>
      <c r="F249" s="3"/>
      <c r="G249" s="3"/>
      <c r="H249" s="241"/>
    </row>
    <row r="250" spans="1:8" s="68" customFormat="1" hidden="1" x14ac:dyDescent="0.25">
      <c r="A250" s="68">
        <v>1</v>
      </c>
      <c r="B250" s="212" t="s">
        <v>151</v>
      </c>
      <c r="C250" s="22"/>
      <c r="D250" s="47">
        <f>D241+ROUND(D245*3.2,0)+D247/3.9+D249</f>
        <v>139611.35897435897</v>
      </c>
      <c r="E250" s="3"/>
      <c r="F250" s="3"/>
      <c r="G250" s="3"/>
      <c r="H250" s="241"/>
    </row>
    <row r="251" spans="1:8" s="68" customFormat="1" hidden="1" x14ac:dyDescent="0.25">
      <c r="A251" s="68">
        <v>1</v>
      </c>
      <c r="B251" s="34" t="s">
        <v>7</v>
      </c>
      <c r="C251" s="63"/>
      <c r="D251" s="3"/>
      <c r="E251" s="3"/>
      <c r="F251" s="3"/>
      <c r="G251" s="3"/>
      <c r="H251" s="241"/>
    </row>
    <row r="252" spans="1:8" s="68" customFormat="1" hidden="1" x14ac:dyDescent="0.25">
      <c r="A252" s="68">
        <v>1</v>
      </c>
      <c r="B252" s="86" t="s">
        <v>139</v>
      </c>
      <c r="C252" s="63"/>
      <c r="D252" s="3"/>
      <c r="E252" s="3"/>
      <c r="F252" s="3"/>
      <c r="G252" s="3"/>
      <c r="H252" s="241"/>
    </row>
    <row r="253" spans="1:8" s="68" customFormat="1" hidden="1" x14ac:dyDescent="0.25">
      <c r="A253" s="68">
        <v>1</v>
      </c>
      <c r="B253" s="1" t="s">
        <v>24</v>
      </c>
      <c r="C253" s="2">
        <v>300</v>
      </c>
      <c r="D253" s="3">
        <v>900</v>
      </c>
      <c r="E253" s="60">
        <v>7.9</v>
      </c>
      <c r="F253" s="3">
        <f>ROUND(G253/C253,0)</f>
        <v>24</v>
      </c>
      <c r="G253" s="3">
        <f>ROUND(D253*E253,0)</f>
        <v>7110</v>
      </c>
      <c r="H253" s="241"/>
    </row>
    <row r="254" spans="1:8" s="68" customFormat="1" hidden="1" x14ac:dyDescent="0.25">
      <c r="A254" s="68">
        <v>1</v>
      </c>
      <c r="B254" s="264" t="s">
        <v>9</v>
      </c>
      <c r="C254" s="2"/>
      <c r="D254" s="18">
        <f>D253</f>
        <v>900</v>
      </c>
      <c r="E254" s="17">
        <f>G254/D254</f>
        <v>7.9</v>
      </c>
      <c r="F254" s="18">
        <f>F253</f>
        <v>24</v>
      </c>
      <c r="G254" s="18">
        <f>G253</f>
        <v>7110</v>
      </c>
      <c r="H254" s="241"/>
    </row>
    <row r="255" spans="1:8" s="68" customFormat="1" hidden="1" x14ac:dyDescent="0.25">
      <c r="A255" s="68">
        <v>1</v>
      </c>
      <c r="B255" s="43" t="s">
        <v>20</v>
      </c>
      <c r="C255" s="2"/>
      <c r="D255" s="18"/>
      <c r="E255" s="17"/>
      <c r="F255" s="18"/>
      <c r="G255" s="18"/>
      <c r="H255" s="241"/>
    </row>
    <row r="256" spans="1:8" s="68" customFormat="1" hidden="1" x14ac:dyDescent="0.25">
      <c r="A256" s="68">
        <v>1</v>
      </c>
      <c r="B256" s="1" t="s">
        <v>24</v>
      </c>
      <c r="C256" s="2">
        <v>240</v>
      </c>
      <c r="D256" s="3">
        <v>255</v>
      </c>
      <c r="E256" s="60">
        <v>7.9</v>
      </c>
      <c r="F256" s="3">
        <f>ROUND(G256/C256,0)</f>
        <v>8</v>
      </c>
      <c r="G256" s="3">
        <f>ROUND(D256*E256,0)</f>
        <v>2015</v>
      </c>
      <c r="H256" s="241"/>
    </row>
    <row r="257" spans="1:8" s="68" customFormat="1" hidden="1" x14ac:dyDescent="0.25">
      <c r="A257" s="68">
        <v>1</v>
      </c>
      <c r="B257" s="282" t="s">
        <v>23</v>
      </c>
      <c r="C257" s="2">
        <v>240</v>
      </c>
      <c r="D257" s="3">
        <v>150</v>
      </c>
      <c r="E257" s="60">
        <v>4</v>
      </c>
      <c r="F257" s="3">
        <f>ROUND(G257/C257,0)</f>
        <v>3</v>
      </c>
      <c r="G257" s="3">
        <f>ROUND(D257*E257,0)</f>
        <v>600</v>
      </c>
      <c r="H257" s="241"/>
    </row>
    <row r="258" spans="1:8" s="68" customFormat="1" hidden="1" x14ac:dyDescent="0.25">
      <c r="A258" s="68">
        <v>1</v>
      </c>
      <c r="B258" s="83" t="s">
        <v>141</v>
      </c>
      <c r="C258" s="285"/>
      <c r="D258" s="35">
        <f>D256+D257</f>
        <v>405</v>
      </c>
      <c r="E258" s="17">
        <f t="shared" ref="E258:E259" si="20">G258/D258</f>
        <v>6.4567901234567904</v>
      </c>
      <c r="F258" s="35">
        <f t="shared" ref="F258:G258" si="21">F256+F257</f>
        <v>11</v>
      </c>
      <c r="G258" s="35">
        <f t="shared" si="21"/>
        <v>2615</v>
      </c>
      <c r="H258" s="241"/>
    </row>
    <row r="259" spans="1:8" ht="18.75" hidden="1" customHeight="1" x14ac:dyDescent="0.25">
      <c r="A259" s="68">
        <v>1</v>
      </c>
      <c r="B259" s="31" t="s">
        <v>116</v>
      </c>
      <c r="C259" s="286"/>
      <c r="D259" s="18">
        <f>D254+D258</f>
        <v>1305</v>
      </c>
      <c r="E259" s="17">
        <f t="shared" si="20"/>
        <v>7.4521072796934869</v>
      </c>
      <c r="F259" s="18">
        <f>F254+F258</f>
        <v>35</v>
      </c>
      <c r="G259" s="18">
        <f>G254+G258</f>
        <v>9725</v>
      </c>
    </row>
    <row r="260" spans="1:8" s="290" customFormat="1" hidden="1" thickBot="1" x14ac:dyDescent="0.25">
      <c r="A260" s="68">
        <v>1</v>
      </c>
      <c r="B260" s="287" t="s">
        <v>10</v>
      </c>
      <c r="C260" s="81"/>
      <c r="D260" s="288"/>
      <c r="E260" s="288"/>
      <c r="F260" s="288"/>
      <c r="G260" s="288"/>
      <c r="H260" s="289"/>
    </row>
    <row r="261" spans="1:8" hidden="1" x14ac:dyDescent="0.25">
      <c r="A261" s="68">
        <v>1</v>
      </c>
      <c r="B261" s="291"/>
      <c r="C261" s="292"/>
      <c r="D261" s="258"/>
      <c r="E261" s="258"/>
      <c r="F261" s="258"/>
      <c r="G261" s="258"/>
    </row>
    <row r="262" spans="1:8" hidden="1" x14ac:dyDescent="0.25">
      <c r="A262" s="68">
        <v>1</v>
      </c>
      <c r="B262" s="242" t="s">
        <v>124</v>
      </c>
      <c r="C262" s="2"/>
      <c r="D262" s="274"/>
      <c r="E262" s="3"/>
      <c r="F262" s="3"/>
      <c r="G262" s="3"/>
    </row>
    <row r="263" spans="1:8" hidden="1" x14ac:dyDescent="0.25">
      <c r="A263" s="68">
        <v>1</v>
      </c>
      <c r="B263" s="69" t="s">
        <v>4</v>
      </c>
      <c r="C263" s="2"/>
      <c r="D263" s="3"/>
      <c r="E263" s="3"/>
      <c r="F263" s="3"/>
      <c r="G263" s="3"/>
    </row>
    <row r="264" spans="1:8" hidden="1" x14ac:dyDescent="0.25">
      <c r="A264" s="68">
        <v>1</v>
      </c>
      <c r="B264" s="59" t="s">
        <v>28</v>
      </c>
      <c r="C264" s="2">
        <v>300</v>
      </c>
      <c r="D264" s="2">
        <f>1350-50</f>
        <v>1300</v>
      </c>
      <c r="E264" s="60">
        <v>5.8</v>
      </c>
      <c r="F264" s="3">
        <f>ROUND(G264/C264,0)</f>
        <v>25</v>
      </c>
      <c r="G264" s="3">
        <f>ROUND(D264*E264,0)</f>
        <v>7540</v>
      </c>
    </row>
    <row r="265" spans="1:8" hidden="1" x14ac:dyDescent="0.25">
      <c r="A265" s="68">
        <v>1</v>
      </c>
      <c r="B265" s="59" t="s">
        <v>24</v>
      </c>
      <c r="C265" s="2">
        <v>300</v>
      </c>
      <c r="D265" s="2">
        <v>200</v>
      </c>
      <c r="E265" s="60">
        <v>6</v>
      </c>
      <c r="F265" s="3">
        <f>ROUND(G265/C265,0)</f>
        <v>4</v>
      </c>
      <c r="G265" s="3">
        <f>ROUND(D265*E265,0)</f>
        <v>1200</v>
      </c>
    </row>
    <row r="266" spans="1:8" hidden="1" x14ac:dyDescent="0.25">
      <c r="A266" s="68">
        <v>1</v>
      </c>
      <c r="B266" s="54" t="s">
        <v>5</v>
      </c>
      <c r="C266" s="63"/>
      <c r="D266" s="18">
        <f>D264+D265</f>
        <v>1500</v>
      </c>
      <c r="E266" s="17">
        <f>G266/D266</f>
        <v>5.8266666666666671</v>
      </c>
      <c r="F266" s="18">
        <f>F264+F265</f>
        <v>29</v>
      </c>
      <c r="G266" s="18">
        <f>G264+G265</f>
        <v>8740</v>
      </c>
    </row>
    <row r="267" spans="1:8" hidden="1" x14ac:dyDescent="0.25">
      <c r="A267" s="68">
        <v>1</v>
      </c>
      <c r="B267" s="21" t="s">
        <v>185</v>
      </c>
      <c r="C267" s="22"/>
      <c r="D267" s="3"/>
      <c r="E267" s="3"/>
      <c r="F267" s="3"/>
      <c r="G267" s="3"/>
    </row>
    <row r="268" spans="1:8" ht="30" hidden="1" x14ac:dyDescent="0.25">
      <c r="A268" s="68">
        <v>1</v>
      </c>
      <c r="B268" s="23" t="s">
        <v>322</v>
      </c>
      <c r="C268" s="22"/>
      <c r="D268" s="3">
        <f>D270+D269/2.7</f>
        <v>31211.111111111109</v>
      </c>
      <c r="E268" s="3"/>
      <c r="F268" s="3"/>
      <c r="G268" s="3"/>
    </row>
    <row r="269" spans="1:8" hidden="1" x14ac:dyDescent="0.25">
      <c r="A269" s="68">
        <v>1</v>
      </c>
      <c r="B269" s="23" t="s">
        <v>286</v>
      </c>
      <c r="C269" s="28"/>
      <c r="D269" s="3">
        <v>570</v>
      </c>
      <c r="E269" s="28"/>
      <c r="F269" s="28"/>
      <c r="G269" s="28"/>
    </row>
    <row r="270" spans="1:8" hidden="1" x14ac:dyDescent="0.25">
      <c r="A270" s="68">
        <v>1</v>
      </c>
      <c r="B270" s="23" t="s">
        <v>223</v>
      </c>
      <c r="C270" s="22"/>
      <c r="D270" s="3">
        <v>31000</v>
      </c>
      <c r="E270" s="3"/>
      <c r="F270" s="3"/>
      <c r="G270" s="3"/>
    </row>
    <row r="271" spans="1:8" hidden="1" x14ac:dyDescent="0.25">
      <c r="A271" s="68">
        <v>1</v>
      </c>
      <c r="B271" s="24" t="s">
        <v>118</v>
      </c>
      <c r="C271" s="22"/>
      <c r="D271" s="3">
        <f>D272+D273</f>
        <v>10140</v>
      </c>
      <c r="E271" s="3"/>
      <c r="F271" s="3"/>
      <c r="G271" s="3"/>
    </row>
    <row r="272" spans="1:8" hidden="1" x14ac:dyDescent="0.25">
      <c r="A272" s="68">
        <v>1</v>
      </c>
      <c r="B272" s="24" t="s">
        <v>259</v>
      </c>
      <c r="C272" s="22"/>
      <c r="D272" s="3">
        <v>9424</v>
      </c>
      <c r="E272" s="3"/>
      <c r="F272" s="3"/>
      <c r="G272" s="3"/>
    </row>
    <row r="273" spans="1:7" hidden="1" x14ac:dyDescent="0.25">
      <c r="A273" s="68">
        <v>1</v>
      </c>
      <c r="B273" s="24" t="s">
        <v>261</v>
      </c>
      <c r="C273" s="22"/>
      <c r="D273" s="3">
        <f>D274/8.5</f>
        <v>716</v>
      </c>
      <c r="E273" s="3"/>
      <c r="F273" s="3"/>
      <c r="G273" s="3"/>
    </row>
    <row r="274" spans="1:7" hidden="1" x14ac:dyDescent="0.25">
      <c r="A274" s="68">
        <v>1</v>
      </c>
      <c r="B274" s="44" t="s">
        <v>260</v>
      </c>
      <c r="C274" s="22"/>
      <c r="D274" s="3">
        <v>6086</v>
      </c>
      <c r="E274" s="3"/>
      <c r="F274" s="3"/>
      <c r="G274" s="3"/>
    </row>
    <row r="275" spans="1:7" ht="30" hidden="1" x14ac:dyDescent="0.25">
      <c r="A275" s="68">
        <v>1</v>
      </c>
      <c r="B275" s="24" t="s">
        <v>119</v>
      </c>
      <c r="C275" s="22"/>
      <c r="D275" s="3"/>
      <c r="E275" s="3"/>
      <c r="F275" s="3"/>
      <c r="G275" s="3"/>
    </row>
    <row r="276" spans="1:7" hidden="1" x14ac:dyDescent="0.25">
      <c r="A276" s="68">
        <v>1</v>
      </c>
      <c r="B276" s="212" t="s">
        <v>151</v>
      </c>
      <c r="C276" s="22"/>
      <c r="D276" s="47">
        <f>D268+ROUND(D272*3.2,0)+D274/3.9</f>
        <v>62928.62393162393</v>
      </c>
      <c r="E276" s="3"/>
      <c r="F276" s="3"/>
      <c r="G276" s="3"/>
    </row>
    <row r="277" spans="1:7" hidden="1" x14ac:dyDescent="0.25">
      <c r="A277" s="68">
        <v>1</v>
      </c>
      <c r="B277" s="34" t="s">
        <v>7</v>
      </c>
      <c r="C277" s="63"/>
      <c r="D277" s="3"/>
      <c r="E277" s="3"/>
      <c r="F277" s="3"/>
      <c r="G277" s="3"/>
    </row>
    <row r="278" spans="1:7" hidden="1" x14ac:dyDescent="0.25">
      <c r="A278" s="68">
        <v>1</v>
      </c>
      <c r="B278" s="43" t="s">
        <v>20</v>
      </c>
      <c r="C278" s="63"/>
      <c r="D278" s="3"/>
      <c r="E278" s="3"/>
      <c r="F278" s="3"/>
      <c r="G278" s="3"/>
    </row>
    <row r="279" spans="1:7" hidden="1" x14ac:dyDescent="0.25">
      <c r="A279" s="68">
        <v>1</v>
      </c>
      <c r="B279" s="30" t="s">
        <v>24</v>
      </c>
      <c r="C279" s="28">
        <v>240</v>
      </c>
      <c r="D279" s="13">
        <v>383</v>
      </c>
      <c r="E279" s="293">
        <v>7</v>
      </c>
      <c r="F279" s="3">
        <f>ROUND(G279/C279,0)</f>
        <v>11</v>
      </c>
      <c r="G279" s="3">
        <f>ROUND(D279*E279,0)</f>
        <v>2681</v>
      </c>
    </row>
    <row r="280" spans="1:7" hidden="1" x14ac:dyDescent="0.25">
      <c r="A280" s="68">
        <v>1</v>
      </c>
      <c r="B280" s="30" t="s">
        <v>23</v>
      </c>
      <c r="C280" s="28">
        <v>240</v>
      </c>
      <c r="D280" s="13">
        <v>110</v>
      </c>
      <c r="E280" s="293">
        <v>6</v>
      </c>
      <c r="F280" s="3">
        <f>ROUND(G280/C280,0)</f>
        <v>3</v>
      </c>
      <c r="G280" s="3">
        <f>ROUND(D280*E280,0)</f>
        <v>660</v>
      </c>
    </row>
    <row r="281" spans="1:7" ht="14.25" hidden="1" customHeight="1" x14ac:dyDescent="0.25">
      <c r="A281" s="68">
        <v>1</v>
      </c>
      <c r="B281" s="83" t="s">
        <v>141</v>
      </c>
      <c r="C281" s="2"/>
      <c r="D281" s="35">
        <f>D279+D280</f>
        <v>493</v>
      </c>
      <c r="E281" s="17">
        <f t="shared" ref="E281:E282" si="22">G281/D281</f>
        <v>6.7768762677484791</v>
      </c>
      <c r="F281" s="35">
        <f t="shared" ref="F281:G281" si="23">F279+F280</f>
        <v>14</v>
      </c>
      <c r="G281" s="35">
        <f t="shared" si="23"/>
        <v>3341</v>
      </c>
    </row>
    <row r="282" spans="1:7" ht="20.25" hidden="1" customHeight="1" x14ac:dyDescent="0.25">
      <c r="A282" s="68">
        <v>1</v>
      </c>
      <c r="B282" s="31" t="s">
        <v>116</v>
      </c>
      <c r="C282" s="78"/>
      <c r="D282" s="294">
        <f>D281</f>
        <v>493</v>
      </c>
      <c r="E282" s="17">
        <f t="shared" si="22"/>
        <v>6.7768762677484791</v>
      </c>
      <c r="F282" s="294">
        <f>F281</f>
        <v>14</v>
      </c>
      <c r="G282" s="294">
        <f>G281</f>
        <v>3341</v>
      </c>
    </row>
    <row r="283" spans="1:7" ht="15.75" hidden="1" thickBot="1" x14ac:dyDescent="0.3">
      <c r="A283" s="68">
        <v>1</v>
      </c>
      <c r="B283" s="270" t="s">
        <v>10</v>
      </c>
      <c r="C283" s="271"/>
      <c r="D283" s="254"/>
      <c r="E283" s="254"/>
      <c r="F283" s="254"/>
      <c r="G283" s="254"/>
    </row>
    <row r="284" spans="1:7" hidden="1" x14ac:dyDescent="0.25">
      <c r="A284" s="68">
        <v>1</v>
      </c>
      <c r="B284" s="291"/>
      <c r="C284" s="292"/>
      <c r="D284" s="258"/>
      <c r="E284" s="258"/>
      <c r="F284" s="258"/>
      <c r="G284" s="258"/>
    </row>
    <row r="285" spans="1:7" hidden="1" x14ac:dyDescent="0.25">
      <c r="A285" s="68">
        <v>1</v>
      </c>
      <c r="B285" s="284" t="s">
        <v>125</v>
      </c>
      <c r="C285" s="2"/>
      <c r="D285" s="3"/>
      <c r="E285" s="3"/>
      <c r="F285" s="3"/>
      <c r="G285" s="3"/>
    </row>
    <row r="286" spans="1:7" hidden="1" x14ac:dyDescent="0.25">
      <c r="A286" s="68">
        <v>1</v>
      </c>
      <c r="B286" s="69" t="s">
        <v>4</v>
      </c>
      <c r="C286" s="2"/>
      <c r="D286" s="3"/>
      <c r="E286" s="3"/>
      <c r="F286" s="3"/>
      <c r="G286" s="3"/>
    </row>
    <row r="287" spans="1:7" hidden="1" x14ac:dyDescent="0.25">
      <c r="A287" s="68">
        <v>1</v>
      </c>
      <c r="B287" s="59" t="s">
        <v>28</v>
      </c>
      <c r="C287" s="2">
        <v>300</v>
      </c>
      <c r="D287" s="3">
        <v>1430</v>
      </c>
      <c r="E287" s="60">
        <v>6</v>
      </c>
      <c r="F287" s="3">
        <f>ROUND(G287/C287,0)</f>
        <v>29</v>
      </c>
      <c r="G287" s="3">
        <f>ROUND(D287*E287,0)</f>
        <v>8580</v>
      </c>
    </row>
    <row r="288" spans="1:7" hidden="1" x14ac:dyDescent="0.25">
      <c r="A288" s="68">
        <v>1</v>
      </c>
      <c r="B288" s="59" t="s">
        <v>24</v>
      </c>
      <c r="C288" s="2">
        <v>340</v>
      </c>
      <c r="D288" s="3">
        <v>670</v>
      </c>
      <c r="E288" s="60">
        <v>5</v>
      </c>
      <c r="F288" s="3">
        <f>ROUND(G288/C288,0)</f>
        <v>10</v>
      </c>
      <c r="G288" s="3">
        <f>ROUND(D288*E288,0)</f>
        <v>3350</v>
      </c>
    </row>
    <row r="289" spans="1:7" hidden="1" x14ac:dyDescent="0.25">
      <c r="A289" s="68">
        <v>1</v>
      </c>
      <c r="B289" s="54" t="s">
        <v>5</v>
      </c>
      <c r="C289" s="63"/>
      <c r="D289" s="18">
        <f>D287+D288</f>
        <v>2100</v>
      </c>
      <c r="E289" s="17">
        <f>G289/D289</f>
        <v>5.6809523809523812</v>
      </c>
      <c r="F289" s="18">
        <f>F287+F288</f>
        <v>39</v>
      </c>
      <c r="G289" s="18">
        <f>G287+G288</f>
        <v>11930</v>
      </c>
    </row>
    <row r="290" spans="1:7" hidden="1" x14ac:dyDescent="0.25">
      <c r="A290" s="68">
        <v>1</v>
      </c>
      <c r="B290" s="21" t="s">
        <v>185</v>
      </c>
      <c r="C290" s="22"/>
      <c r="D290" s="3"/>
      <c r="E290" s="17"/>
      <c r="F290" s="18"/>
      <c r="G290" s="18"/>
    </row>
    <row r="291" spans="1:7" ht="30" hidden="1" x14ac:dyDescent="0.25">
      <c r="A291" s="68">
        <v>1</v>
      </c>
      <c r="B291" s="23" t="s">
        <v>322</v>
      </c>
      <c r="C291" s="22"/>
      <c r="D291" s="3">
        <f>D293+D292/2.7</f>
        <v>19481.481481481482</v>
      </c>
      <c r="E291" s="3"/>
      <c r="F291" s="3"/>
      <c r="G291" s="3"/>
    </row>
    <row r="292" spans="1:7" hidden="1" x14ac:dyDescent="0.25">
      <c r="A292" s="68">
        <v>1</v>
      </c>
      <c r="B292" s="23" t="s">
        <v>286</v>
      </c>
      <c r="C292" s="28"/>
      <c r="D292" s="3">
        <v>1300</v>
      </c>
      <c r="E292" s="28"/>
      <c r="F292" s="28"/>
      <c r="G292" s="28"/>
    </row>
    <row r="293" spans="1:7" hidden="1" x14ac:dyDescent="0.25">
      <c r="A293" s="68">
        <v>1</v>
      </c>
      <c r="B293" s="23" t="s">
        <v>223</v>
      </c>
      <c r="C293" s="22"/>
      <c r="D293" s="3">
        <v>19000</v>
      </c>
      <c r="E293" s="3"/>
      <c r="F293" s="3"/>
      <c r="G293" s="3"/>
    </row>
    <row r="294" spans="1:7" hidden="1" x14ac:dyDescent="0.25">
      <c r="A294" s="68">
        <v>1</v>
      </c>
      <c r="B294" s="24" t="s">
        <v>118</v>
      </c>
      <c r="C294" s="22"/>
      <c r="D294" s="3">
        <f>D295+D296</f>
        <v>8670.5882352941171</v>
      </c>
      <c r="E294" s="3"/>
      <c r="F294" s="3"/>
      <c r="G294" s="3"/>
    </row>
    <row r="295" spans="1:7" hidden="1" x14ac:dyDescent="0.25">
      <c r="A295" s="68">
        <v>1</v>
      </c>
      <c r="B295" s="24" t="s">
        <v>259</v>
      </c>
      <c r="C295" s="22"/>
      <c r="D295" s="3">
        <v>8200</v>
      </c>
      <c r="E295" s="3"/>
      <c r="F295" s="3"/>
      <c r="G295" s="3"/>
    </row>
    <row r="296" spans="1:7" hidden="1" x14ac:dyDescent="0.25">
      <c r="A296" s="68">
        <v>1</v>
      </c>
      <c r="B296" s="24" t="s">
        <v>261</v>
      </c>
      <c r="C296" s="22"/>
      <c r="D296" s="3">
        <f>D297/8.5</f>
        <v>470.58823529411762</v>
      </c>
      <c r="E296" s="3"/>
      <c r="F296" s="3"/>
      <c r="G296" s="3"/>
    </row>
    <row r="297" spans="1:7" hidden="1" x14ac:dyDescent="0.25">
      <c r="A297" s="68">
        <v>1</v>
      </c>
      <c r="B297" s="44" t="s">
        <v>260</v>
      </c>
      <c r="C297" s="22"/>
      <c r="D297" s="3">
        <v>4000</v>
      </c>
      <c r="E297" s="3"/>
      <c r="F297" s="3"/>
      <c r="G297" s="3"/>
    </row>
    <row r="298" spans="1:7" ht="30" hidden="1" x14ac:dyDescent="0.25">
      <c r="A298" s="68">
        <v>1</v>
      </c>
      <c r="B298" s="24" t="s">
        <v>119</v>
      </c>
      <c r="C298" s="22"/>
      <c r="D298" s="3"/>
      <c r="E298" s="3"/>
      <c r="F298" s="3"/>
      <c r="G298" s="3"/>
    </row>
    <row r="299" spans="1:7" hidden="1" x14ac:dyDescent="0.25">
      <c r="A299" s="68">
        <v>1</v>
      </c>
      <c r="B299" s="212" t="s">
        <v>151</v>
      </c>
      <c r="C299" s="22"/>
      <c r="D299" s="47">
        <f>D291+ROUND(D295*3.2,0)+D297/3.9</f>
        <v>46747.122507122505</v>
      </c>
      <c r="E299" s="3"/>
      <c r="F299" s="3"/>
      <c r="G299" s="3"/>
    </row>
    <row r="300" spans="1:7" hidden="1" x14ac:dyDescent="0.25">
      <c r="A300" s="68">
        <v>1</v>
      </c>
      <c r="B300" s="295" t="s">
        <v>120</v>
      </c>
      <c r="C300" s="22"/>
      <c r="D300" s="202">
        <f>D301</f>
        <v>140</v>
      </c>
      <c r="E300" s="3"/>
      <c r="F300" s="3"/>
      <c r="G300" s="3"/>
    </row>
    <row r="301" spans="1:7" hidden="1" x14ac:dyDescent="0.25">
      <c r="A301" s="68">
        <v>1</v>
      </c>
      <c r="B301" s="296" t="s">
        <v>251</v>
      </c>
      <c r="C301" s="22"/>
      <c r="D301" s="3">
        <v>140</v>
      </c>
      <c r="E301" s="3"/>
      <c r="F301" s="3"/>
      <c r="G301" s="3"/>
    </row>
    <row r="302" spans="1:7" hidden="1" x14ac:dyDescent="0.25">
      <c r="A302" s="68">
        <v>1</v>
      </c>
      <c r="B302" s="34" t="s">
        <v>7</v>
      </c>
      <c r="C302" s="63"/>
      <c r="D302" s="3"/>
      <c r="E302" s="3"/>
      <c r="F302" s="3"/>
      <c r="G302" s="3"/>
    </row>
    <row r="303" spans="1:7" hidden="1" x14ac:dyDescent="0.25">
      <c r="A303" s="68">
        <v>1</v>
      </c>
      <c r="B303" s="43" t="s">
        <v>20</v>
      </c>
      <c r="C303" s="63"/>
      <c r="D303" s="3"/>
      <c r="E303" s="3"/>
      <c r="F303" s="3"/>
      <c r="G303" s="3"/>
    </row>
    <row r="304" spans="1:7" hidden="1" x14ac:dyDescent="0.25">
      <c r="A304" s="68">
        <v>1</v>
      </c>
      <c r="B304" s="30" t="s">
        <v>24</v>
      </c>
      <c r="C304" s="2">
        <v>240</v>
      </c>
      <c r="D304" s="3">
        <v>312</v>
      </c>
      <c r="E304" s="60">
        <v>7</v>
      </c>
      <c r="F304" s="3">
        <f>ROUND(G304/C304,0)</f>
        <v>9</v>
      </c>
      <c r="G304" s="3">
        <f>ROUND(D304*E304,0)</f>
        <v>2184</v>
      </c>
    </row>
    <row r="305" spans="1:8" hidden="1" x14ac:dyDescent="0.25">
      <c r="A305" s="68">
        <v>1</v>
      </c>
      <c r="B305" s="30" t="s">
        <v>23</v>
      </c>
      <c r="C305" s="2">
        <v>240</v>
      </c>
      <c r="D305" s="3">
        <v>126</v>
      </c>
      <c r="E305" s="77">
        <v>3</v>
      </c>
      <c r="F305" s="3">
        <f>ROUND(G305/C305,0)</f>
        <v>2</v>
      </c>
      <c r="G305" s="3">
        <f>ROUND(D305*E305,0)</f>
        <v>378</v>
      </c>
    </row>
    <row r="306" spans="1:8" ht="18" hidden="1" customHeight="1" x14ac:dyDescent="0.25">
      <c r="A306" s="68">
        <v>1</v>
      </c>
      <c r="B306" s="83" t="s">
        <v>141</v>
      </c>
      <c r="C306" s="2"/>
      <c r="D306" s="35">
        <f>SUM(D304:D305)</f>
        <v>438</v>
      </c>
      <c r="E306" s="17">
        <f t="shared" ref="E306:E307" si="24">G306/D306</f>
        <v>5.8493150684931505</v>
      </c>
      <c r="F306" s="35">
        <f t="shared" ref="F306:G306" si="25">SUM(F304:F305)</f>
        <v>11</v>
      </c>
      <c r="G306" s="35">
        <f t="shared" si="25"/>
        <v>2562</v>
      </c>
    </row>
    <row r="307" spans="1:8" ht="20.25" hidden="1" customHeight="1" x14ac:dyDescent="0.25">
      <c r="A307" s="68">
        <v>1</v>
      </c>
      <c r="B307" s="31" t="s">
        <v>116</v>
      </c>
      <c r="C307" s="78"/>
      <c r="D307" s="294">
        <f>D306</f>
        <v>438</v>
      </c>
      <c r="E307" s="17">
        <f t="shared" si="24"/>
        <v>5.8493150684931505</v>
      </c>
      <c r="F307" s="294">
        <f>F306</f>
        <v>11</v>
      </c>
      <c r="G307" s="294">
        <f>G306</f>
        <v>2562</v>
      </c>
    </row>
    <row r="308" spans="1:8" ht="15.75" hidden="1" thickBot="1" x14ac:dyDescent="0.3">
      <c r="A308" s="68">
        <v>1</v>
      </c>
      <c r="B308" s="270" t="s">
        <v>10</v>
      </c>
      <c r="C308" s="254"/>
      <c r="D308" s="254"/>
      <c r="E308" s="254"/>
      <c r="F308" s="254"/>
      <c r="G308" s="254"/>
    </row>
    <row r="309" spans="1:8" hidden="1" x14ac:dyDescent="0.25">
      <c r="A309" s="68">
        <v>1</v>
      </c>
      <c r="B309" s="78"/>
      <c r="C309" s="87"/>
      <c r="D309" s="3"/>
      <c r="E309" s="3"/>
      <c r="F309" s="3"/>
      <c r="G309" s="3"/>
    </row>
    <row r="310" spans="1:8" ht="29.25" hidden="1" x14ac:dyDescent="0.25">
      <c r="A310" s="68">
        <v>1</v>
      </c>
      <c r="B310" s="670" t="s">
        <v>126</v>
      </c>
      <c r="C310" s="63"/>
      <c r="D310" s="3"/>
      <c r="E310" s="3"/>
      <c r="F310" s="3"/>
      <c r="G310" s="3"/>
    </row>
    <row r="311" spans="1:8" s="46" customFormat="1" ht="18.75" hidden="1" customHeight="1" x14ac:dyDescent="0.25">
      <c r="A311" s="68">
        <v>1</v>
      </c>
      <c r="B311" s="21" t="s">
        <v>205</v>
      </c>
      <c r="C311" s="21"/>
      <c r="D311" s="74"/>
      <c r="E311" s="45"/>
      <c r="F311" s="45"/>
      <c r="G311" s="45"/>
      <c r="H311" s="261"/>
    </row>
    <row r="312" spans="1:8" s="46" customFormat="1" ht="30" hidden="1" x14ac:dyDescent="0.25">
      <c r="A312" s="68">
        <v>1</v>
      </c>
      <c r="B312" s="23" t="s">
        <v>322</v>
      </c>
      <c r="C312" s="47"/>
      <c r="D312" s="45">
        <f>D315+D316+D317+D313/2.7</f>
        <v>48500</v>
      </c>
      <c r="E312" s="45"/>
      <c r="F312" s="45"/>
      <c r="G312" s="45"/>
      <c r="H312" s="261"/>
    </row>
    <row r="313" spans="1:8" s="46" customFormat="1" hidden="1" x14ac:dyDescent="0.25">
      <c r="A313" s="68">
        <v>1</v>
      </c>
      <c r="B313" s="23" t="s">
        <v>286</v>
      </c>
      <c r="C313" s="28"/>
      <c r="D313" s="3"/>
      <c r="E313" s="28"/>
      <c r="F313" s="28"/>
      <c r="G313" s="28"/>
      <c r="H313" s="261"/>
    </row>
    <row r="314" spans="1:8" s="46" customFormat="1" hidden="1" x14ac:dyDescent="0.25">
      <c r="A314" s="68">
        <v>1</v>
      </c>
      <c r="B314" s="48" t="s">
        <v>206</v>
      </c>
      <c r="C314" s="47"/>
      <c r="D314" s="45"/>
      <c r="E314" s="45"/>
      <c r="F314" s="45"/>
      <c r="G314" s="45"/>
      <c r="H314" s="261"/>
    </row>
    <row r="315" spans="1:8" s="46" customFormat="1" ht="17.25" hidden="1" customHeight="1" x14ac:dyDescent="0.25">
      <c r="A315" s="68">
        <v>1</v>
      </c>
      <c r="B315" s="48" t="s">
        <v>207</v>
      </c>
      <c r="C315" s="47"/>
      <c r="D315" s="3">
        <v>9500</v>
      </c>
      <c r="E315" s="45"/>
      <c r="F315" s="45"/>
      <c r="G315" s="45"/>
      <c r="H315" s="261"/>
    </row>
    <row r="316" spans="1:8" s="46" customFormat="1" ht="30" hidden="1" x14ac:dyDescent="0.25">
      <c r="A316" s="68">
        <v>1</v>
      </c>
      <c r="B316" s="48" t="s">
        <v>208</v>
      </c>
      <c r="C316" s="47"/>
      <c r="D316" s="3"/>
      <c r="E316" s="45"/>
      <c r="F316" s="45"/>
      <c r="G316" s="45"/>
      <c r="H316" s="261"/>
    </row>
    <row r="317" spans="1:8" s="46" customFormat="1" hidden="1" x14ac:dyDescent="0.25">
      <c r="A317" s="68">
        <v>1</v>
      </c>
      <c r="B317" s="23" t="s">
        <v>209</v>
      </c>
      <c r="C317" s="47"/>
      <c r="D317" s="3">
        <v>39000</v>
      </c>
      <c r="E317" s="45"/>
      <c r="F317" s="45"/>
      <c r="G317" s="45"/>
      <c r="H317" s="261"/>
    </row>
    <row r="318" spans="1:8" s="46" customFormat="1" ht="45" hidden="1" x14ac:dyDescent="0.25">
      <c r="A318" s="68">
        <v>1</v>
      </c>
      <c r="B318" s="23" t="s">
        <v>285</v>
      </c>
      <c r="C318" s="47"/>
      <c r="D318" s="13">
        <v>2638</v>
      </c>
      <c r="E318" s="45"/>
      <c r="F318" s="45"/>
      <c r="G318" s="45"/>
      <c r="H318" s="261"/>
    </row>
    <row r="319" spans="1:8" hidden="1" x14ac:dyDescent="0.25">
      <c r="A319" s="68">
        <v>1</v>
      </c>
      <c r="B319" s="24" t="s">
        <v>118</v>
      </c>
      <c r="C319" s="22"/>
      <c r="D319" s="3">
        <f>D320+D321</f>
        <v>67158</v>
      </c>
      <c r="E319" s="18"/>
      <c r="F319" s="3"/>
      <c r="G319" s="3"/>
    </row>
    <row r="320" spans="1:8" hidden="1" x14ac:dyDescent="0.25">
      <c r="A320" s="68">
        <v>1</v>
      </c>
      <c r="B320" s="24" t="s">
        <v>259</v>
      </c>
      <c r="C320" s="207"/>
      <c r="D320" s="3">
        <v>67158</v>
      </c>
      <c r="E320" s="18"/>
      <c r="F320" s="3"/>
      <c r="G320" s="3"/>
    </row>
    <row r="321" spans="1:8" hidden="1" x14ac:dyDescent="0.25">
      <c r="A321" s="68">
        <v>1</v>
      </c>
      <c r="B321" s="24" t="s">
        <v>261</v>
      </c>
      <c r="C321" s="207"/>
      <c r="D321" s="13">
        <f>D322/8.5</f>
        <v>0</v>
      </c>
      <c r="E321" s="18"/>
      <c r="F321" s="3"/>
      <c r="G321" s="3"/>
    </row>
    <row r="322" spans="1:8" s="46" customFormat="1" hidden="1" x14ac:dyDescent="0.25">
      <c r="A322" s="68">
        <v>1</v>
      </c>
      <c r="B322" s="44" t="s">
        <v>260</v>
      </c>
      <c r="C322" s="262"/>
      <c r="D322" s="3"/>
      <c r="E322" s="45"/>
      <c r="F322" s="45"/>
      <c r="G322" s="45"/>
      <c r="H322" s="261"/>
    </row>
    <row r="323" spans="1:8" s="46" customFormat="1" ht="15.75" hidden="1" customHeight="1" x14ac:dyDescent="0.25">
      <c r="A323" s="68">
        <v>1</v>
      </c>
      <c r="B323" s="49" t="s">
        <v>210</v>
      </c>
      <c r="C323" s="50"/>
      <c r="D323" s="47">
        <f>D312+ROUND(D320*3.2,0)+D322/3.9</f>
        <v>263406</v>
      </c>
      <c r="E323" s="51"/>
      <c r="F323" s="51"/>
      <c r="G323" s="56"/>
      <c r="H323" s="261"/>
    </row>
    <row r="324" spans="1:8" s="46" customFormat="1" ht="15.75" hidden="1" customHeight="1" x14ac:dyDescent="0.25">
      <c r="A324" s="68">
        <v>1</v>
      </c>
      <c r="B324" s="21" t="s">
        <v>153</v>
      </c>
      <c r="C324" s="22"/>
      <c r="D324" s="3"/>
      <c r="E324" s="51"/>
      <c r="F324" s="51"/>
      <c r="G324" s="56"/>
      <c r="H324" s="261"/>
    </row>
    <row r="325" spans="1:8" s="46" customFormat="1" ht="30" hidden="1" x14ac:dyDescent="0.25">
      <c r="A325" s="68">
        <v>1</v>
      </c>
      <c r="B325" s="23" t="s">
        <v>322</v>
      </c>
      <c r="C325" s="22"/>
      <c r="D325" s="3">
        <f>SUM(D326,D327,D334,D340,D341,D342)</f>
        <v>32925</v>
      </c>
      <c r="E325" s="51"/>
      <c r="F325" s="51"/>
      <c r="G325" s="56"/>
      <c r="H325" s="261"/>
    </row>
    <row r="326" spans="1:8" s="46" customFormat="1" ht="15.75" hidden="1" customHeight="1" x14ac:dyDescent="0.25">
      <c r="A326" s="68">
        <v>1</v>
      </c>
      <c r="B326" s="23" t="s">
        <v>206</v>
      </c>
      <c r="C326" s="22"/>
      <c r="D326" s="3"/>
      <c r="E326" s="51"/>
      <c r="F326" s="51"/>
      <c r="G326" s="56"/>
      <c r="H326" s="261"/>
    </row>
    <row r="327" spans="1:8" s="46" customFormat="1" ht="15.75" hidden="1" customHeight="1" x14ac:dyDescent="0.25">
      <c r="A327" s="68">
        <v>1</v>
      </c>
      <c r="B327" s="48" t="s">
        <v>211</v>
      </c>
      <c r="C327" s="22"/>
      <c r="D327" s="3">
        <f>D328+D329+D330+D332</f>
        <v>20825</v>
      </c>
      <c r="E327" s="51"/>
      <c r="F327" s="51"/>
      <c r="G327" s="56"/>
      <c r="H327" s="261"/>
    </row>
    <row r="328" spans="1:8" s="46" customFormat="1" ht="19.5" hidden="1" customHeight="1" x14ac:dyDescent="0.25">
      <c r="A328" s="68">
        <v>1</v>
      </c>
      <c r="B328" s="52" t="s">
        <v>212</v>
      </c>
      <c r="C328" s="22"/>
      <c r="D328" s="45">
        <f>17400-1800</f>
        <v>15600</v>
      </c>
      <c r="E328" s="51"/>
      <c r="F328" s="51"/>
      <c r="G328" s="56"/>
      <c r="H328" s="261"/>
    </row>
    <row r="329" spans="1:8" s="46" customFormat="1" ht="15.75" hidden="1" customHeight="1" x14ac:dyDescent="0.25">
      <c r="A329" s="68">
        <v>1</v>
      </c>
      <c r="B329" s="52" t="s">
        <v>213</v>
      </c>
      <c r="C329" s="22"/>
      <c r="D329" s="45">
        <v>5225</v>
      </c>
      <c r="E329" s="51"/>
      <c r="F329" s="51"/>
      <c r="G329" s="56"/>
      <c r="H329" s="261"/>
    </row>
    <row r="330" spans="1:8" s="46" customFormat="1" ht="30.75" hidden="1" customHeight="1" x14ac:dyDescent="0.25">
      <c r="A330" s="68">
        <v>1</v>
      </c>
      <c r="B330" s="52" t="s">
        <v>214</v>
      </c>
      <c r="C330" s="22"/>
      <c r="D330" s="45"/>
      <c r="E330" s="51"/>
      <c r="F330" s="51"/>
      <c r="G330" s="56"/>
      <c r="H330" s="261"/>
    </row>
    <row r="331" spans="1:8" s="46" customFormat="1" hidden="1" x14ac:dyDescent="0.25">
      <c r="A331" s="68">
        <v>1</v>
      </c>
      <c r="B331" s="52" t="s">
        <v>215</v>
      </c>
      <c r="C331" s="22"/>
      <c r="D331" s="45"/>
      <c r="E331" s="51"/>
      <c r="F331" s="51"/>
      <c r="G331" s="56"/>
      <c r="H331" s="261"/>
    </row>
    <row r="332" spans="1:8" s="46" customFormat="1" ht="30" hidden="1" x14ac:dyDescent="0.25">
      <c r="A332" s="68">
        <v>1</v>
      </c>
      <c r="B332" s="52" t="s">
        <v>216</v>
      </c>
      <c r="C332" s="22"/>
      <c r="D332" s="45"/>
      <c r="E332" s="51"/>
      <c r="F332" s="51"/>
      <c r="G332" s="56"/>
      <c r="H332" s="261"/>
    </row>
    <row r="333" spans="1:8" s="46" customFormat="1" hidden="1" x14ac:dyDescent="0.25">
      <c r="A333" s="68">
        <v>1</v>
      </c>
      <c r="B333" s="52" t="s">
        <v>215</v>
      </c>
      <c r="C333" s="22"/>
      <c r="D333" s="76"/>
      <c r="E333" s="51"/>
      <c r="F333" s="51"/>
      <c r="G333" s="56"/>
      <c r="H333" s="261"/>
    </row>
    <row r="334" spans="1:8" s="46" customFormat="1" ht="30" hidden="1" customHeight="1" x14ac:dyDescent="0.25">
      <c r="A334" s="68">
        <v>1</v>
      </c>
      <c r="B334" s="48" t="s">
        <v>217</v>
      </c>
      <c r="C334" s="22"/>
      <c r="D334" s="3">
        <f>SUM(D335,D336,D338)</f>
        <v>12100</v>
      </c>
      <c r="E334" s="51"/>
      <c r="F334" s="51"/>
      <c r="G334" s="56"/>
      <c r="H334" s="261"/>
    </row>
    <row r="335" spans="1:8" s="46" customFormat="1" ht="30" hidden="1" x14ac:dyDescent="0.25">
      <c r="A335" s="68">
        <v>1</v>
      </c>
      <c r="B335" s="52" t="s">
        <v>218</v>
      </c>
      <c r="C335" s="22"/>
      <c r="D335" s="3">
        <v>12100</v>
      </c>
      <c r="E335" s="51"/>
      <c r="F335" s="51"/>
      <c r="G335" s="56"/>
      <c r="H335" s="261"/>
    </row>
    <row r="336" spans="1:8" s="46" customFormat="1" ht="45" hidden="1" x14ac:dyDescent="0.25">
      <c r="A336" s="68">
        <v>1</v>
      </c>
      <c r="B336" s="52" t="s">
        <v>219</v>
      </c>
      <c r="C336" s="22"/>
      <c r="D336" s="42"/>
      <c r="E336" s="51"/>
      <c r="F336" s="51"/>
      <c r="G336" s="56"/>
      <c r="H336" s="261"/>
    </row>
    <row r="337" spans="1:8" s="46" customFormat="1" hidden="1" x14ac:dyDescent="0.25">
      <c r="A337" s="68">
        <v>1</v>
      </c>
      <c r="B337" s="52" t="s">
        <v>215</v>
      </c>
      <c r="C337" s="22"/>
      <c r="D337" s="42"/>
      <c r="E337" s="51"/>
      <c r="F337" s="51"/>
      <c r="G337" s="56"/>
      <c r="H337" s="261"/>
    </row>
    <row r="338" spans="1:8" s="46" customFormat="1" ht="45" hidden="1" x14ac:dyDescent="0.25">
      <c r="A338" s="68">
        <v>1</v>
      </c>
      <c r="B338" s="52" t="s">
        <v>220</v>
      </c>
      <c r="C338" s="22"/>
      <c r="D338" s="42"/>
      <c r="E338" s="51"/>
      <c r="F338" s="51"/>
      <c r="G338" s="56"/>
      <c r="H338" s="261"/>
    </row>
    <row r="339" spans="1:8" s="46" customFormat="1" hidden="1" x14ac:dyDescent="0.25">
      <c r="A339" s="68">
        <v>1</v>
      </c>
      <c r="B339" s="52" t="s">
        <v>215</v>
      </c>
      <c r="C339" s="22"/>
      <c r="D339" s="42"/>
      <c r="E339" s="51"/>
      <c r="F339" s="51"/>
      <c r="G339" s="56"/>
      <c r="H339" s="261"/>
    </row>
    <row r="340" spans="1:8" s="46" customFormat="1" ht="31.5" hidden="1" customHeight="1" x14ac:dyDescent="0.25">
      <c r="A340" s="68">
        <v>1</v>
      </c>
      <c r="B340" s="48" t="s">
        <v>221</v>
      </c>
      <c r="C340" s="22"/>
      <c r="D340" s="3"/>
      <c r="E340" s="51"/>
      <c r="F340" s="51"/>
      <c r="G340" s="56"/>
      <c r="H340" s="261"/>
    </row>
    <row r="341" spans="1:8" s="46" customFormat="1" ht="15.75" hidden="1" customHeight="1" x14ac:dyDescent="0.25">
      <c r="A341" s="68">
        <v>1</v>
      </c>
      <c r="B341" s="48" t="s">
        <v>222</v>
      </c>
      <c r="C341" s="22"/>
      <c r="D341" s="3"/>
      <c r="E341" s="51"/>
      <c r="F341" s="51"/>
      <c r="G341" s="56"/>
      <c r="H341" s="261"/>
    </row>
    <row r="342" spans="1:8" s="46" customFormat="1" ht="15.75" hidden="1" customHeight="1" x14ac:dyDescent="0.25">
      <c r="A342" s="68">
        <v>1</v>
      </c>
      <c r="B342" s="23" t="s">
        <v>223</v>
      </c>
      <c r="C342" s="22"/>
      <c r="D342" s="3"/>
      <c r="E342" s="51"/>
      <c r="F342" s="51"/>
      <c r="G342" s="56"/>
      <c r="H342" s="261"/>
    </row>
    <row r="343" spans="1:8" s="46" customFormat="1" hidden="1" x14ac:dyDescent="0.25">
      <c r="A343" s="68">
        <v>1</v>
      </c>
      <c r="B343" s="24" t="s">
        <v>118</v>
      </c>
      <c r="C343" s="47"/>
      <c r="D343" s="45"/>
      <c r="E343" s="51"/>
      <c r="F343" s="51"/>
      <c r="G343" s="56"/>
      <c r="H343" s="261"/>
    </row>
    <row r="344" spans="1:8" s="46" customFormat="1" hidden="1" x14ac:dyDescent="0.25">
      <c r="A344" s="68">
        <v>1</v>
      </c>
      <c r="B344" s="44" t="s">
        <v>150</v>
      </c>
      <c r="C344" s="47"/>
      <c r="D344" s="76"/>
      <c r="E344" s="51"/>
      <c r="F344" s="51"/>
      <c r="G344" s="56"/>
      <c r="H344" s="261"/>
    </row>
    <row r="345" spans="1:8" ht="30" hidden="1" x14ac:dyDescent="0.25">
      <c r="A345" s="68">
        <v>1</v>
      </c>
      <c r="B345" s="24" t="s">
        <v>119</v>
      </c>
      <c r="C345" s="22"/>
      <c r="D345" s="3">
        <v>18500</v>
      </c>
      <c r="E345" s="18"/>
      <c r="F345" s="3"/>
      <c r="G345" s="3"/>
    </row>
    <row r="346" spans="1:8" s="46" customFormat="1" ht="15.75" hidden="1" customHeight="1" x14ac:dyDescent="0.25">
      <c r="A346" s="68">
        <v>1</v>
      </c>
      <c r="B346" s="24" t="s">
        <v>224</v>
      </c>
      <c r="C346" s="22"/>
      <c r="D346" s="3"/>
      <c r="E346" s="51"/>
      <c r="F346" s="51"/>
      <c r="G346" s="56"/>
      <c r="H346" s="261"/>
    </row>
    <row r="347" spans="1:8" s="46" customFormat="1" hidden="1" x14ac:dyDescent="0.25">
      <c r="A347" s="68">
        <v>1</v>
      </c>
      <c r="B347" s="53"/>
      <c r="C347" s="22"/>
      <c r="D347" s="3"/>
      <c r="E347" s="51"/>
      <c r="F347" s="51"/>
      <c r="G347" s="56"/>
      <c r="H347" s="261"/>
    </row>
    <row r="348" spans="1:8" s="46" customFormat="1" hidden="1" x14ac:dyDescent="0.25">
      <c r="A348" s="68">
        <v>1</v>
      </c>
      <c r="B348" s="54" t="s">
        <v>152</v>
      </c>
      <c r="C348" s="22"/>
      <c r="D348" s="18">
        <f>D325+ROUND(D343*3.2,0)+D345</f>
        <v>51425</v>
      </c>
      <c r="E348" s="51"/>
      <c r="F348" s="51"/>
      <c r="G348" s="56"/>
      <c r="H348" s="261"/>
    </row>
    <row r="349" spans="1:8" s="46" customFormat="1" hidden="1" x14ac:dyDescent="0.25">
      <c r="A349" s="68">
        <v>1</v>
      </c>
      <c r="B349" s="55" t="s">
        <v>151</v>
      </c>
      <c r="C349" s="22"/>
      <c r="D349" s="18">
        <f>SUM(D323,D348)</f>
        <v>314831</v>
      </c>
      <c r="E349" s="51"/>
      <c r="F349" s="51"/>
      <c r="G349" s="56"/>
      <c r="H349" s="261"/>
    </row>
    <row r="350" spans="1:8" s="46" customFormat="1" hidden="1" x14ac:dyDescent="0.25">
      <c r="A350" s="68">
        <v>1</v>
      </c>
      <c r="B350" s="197" t="s">
        <v>120</v>
      </c>
      <c r="C350" s="22"/>
      <c r="D350" s="202">
        <f>D351</f>
        <v>3032</v>
      </c>
      <c r="E350" s="280"/>
      <c r="F350" s="280"/>
      <c r="G350" s="18"/>
      <c r="H350" s="261"/>
    </row>
    <row r="351" spans="1:8" s="46" customFormat="1" hidden="1" x14ac:dyDescent="0.25">
      <c r="A351" s="68">
        <v>1</v>
      </c>
      <c r="B351" s="297" t="s">
        <v>33</v>
      </c>
      <c r="C351" s="22"/>
      <c r="D351" s="3">
        <v>3032</v>
      </c>
      <c r="E351" s="280"/>
      <c r="F351" s="280"/>
      <c r="G351" s="18"/>
      <c r="H351" s="261"/>
    </row>
    <row r="352" spans="1:8" hidden="1" x14ac:dyDescent="0.25">
      <c r="A352" s="68">
        <v>1</v>
      </c>
      <c r="B352" s="34" t="s">
        <v>7</v>
      </c>
      <c r="C352" s="22"/>
      <c r="D352" s="3"/>
      <c r="E352" s="3"/>
      <c r="F352" s="3"/>
      <c r="G352" s="3"/>
    </row>
    <row r="353" spans="1:8" hidden="1" x14ac:dyDescent="0.25">
      <c r="A353" s="68">
        <v>1</v>
      </c>
      <c r="B353" s="43" t="s">
        <v>76</v>
      </c>
      <c r="C353" s="22"/>
      <c r="D353" s="3"/>
      <c r="E353" s="3"/>
      <c r="F353" s="3"/>
      <c r="G353" s="3"/>
    </row>
    <row r="354" spans="1:8" hidden="1" x14ac:dyDescent="0.25">
      <c r="A354" s="68">
        <v>1</v>
      </c>
      <c r="B354" s="30" t="s">
        <v>37</v>
      </c>
      <c r="C354" s="2">
        <v>240</v>
      </c>
      <c r="D354" s="3">
        <v>3140</v>
      </c>
      <c r="E354" s="60">
        <v>8</v>
      </c>
      <c r="F354" s="3">
        <f>ROUND(G354/C354,0)</f>
        <v>105</v>
      </c>
      <c r="G354" s="3">
        <f>ROUND(D354*E354,0)</f>
        <v>25120</v>
      </c>
    </row>
    <row r="355" spans="1:8" hidden="1" x14ac:dyDescent="0.25">
      <c r="A355" s="68">
        <v>1</v>
      </c>
      <c r="B355" s="30" t="s">
        <v>11</v>
      </c>
      <c r="C355" s="2">
        <v>240</v>
      </c>
      <c r="D355" s="3">
        <v>855</v>
      </c>
      <c r="E355" s="60">
        <v>4</v>
      </c>
      <c r="F355" s="3">
        <f>ROUND(G355/C355,0)</f>
        <v>14</v>
      </c>
      <c r="G355" s="3">
        <f>ROUND(D355*E355,0)</f>
        <v>3420</v>
      </c>
    </row>
    <row r="356" spans="1:8" hidden="1" x14ac:dyDescent="0.25">
      <c r="A356" s="68">
        <v>1</v>
      </c>
      <c r="B356" s="30" t="s">
        <v>8</v>
      </c>
      <c r="C356" s="285">
        <v>240</v>
      </c>
      <c r="D356" s="3">
        <v>185</v>
      </c>
      <c r="E356" s="77">
        <v>4</v>
      </c>
      <c r="F356" s="3">
        <f>ROUND(G356/C356,0)</f>
        <v>3</v>
      </c>
      <c r="G356" s="3">
        <f>ROUND(D356*E356,0)</f>
        <v>740</v>
      </c>
    </row>
    <row r="357" spans="1:8" hidden="1" x14ac:dyDescent="0.25">
      <c r="A357" s="68">
        <v>1</v>
      </c>
      <c r="B357" s="219" t="s">
        <v>141</v>
      </c>
      <c r="C357" s="285"/>
      <c r="D357" s="35">
        <f>SUM(D354:D356)</f>
        <v>4180</v>
      </c>
      <c r="E357" s="17">
        <f t="shared" ref="E357:E358" si="26">G357/D357</f>
        <v>7.0047846889952154</v>
      </c>
      <c r="F357" s="35">
        <f t="shared" ref="F357:G357" si="27">SUM(F354:F356)</f>
        <v>122</v>
      </c>
      <c r="G357" s="35">
        <f t="shared" si="27"/>
        <v>29280</v>
      </c>
    </row>
    <row r="358" spans="1:8" ht="21" hidden="1" customHeight="1" x14ac:dyDescent="0.25">
      <c r="A358" s="68">
        <v>1</v>
      </c>
      <c r="B358" s="31" t="s">
        <v>116</v>
      </c>
      <c r="C358" s="286"/>
      <c r="D358" s="294">
        <f>D357</f>
        <v>4180</v>
      </c>
      <c r="E358" s="17">
        <f t="shared" si="26"/>
        <v>7.0047846889952154</v>
      </c>
      <c r="F358" s="294">
        <f t="shared" ref="F358:G358" si="28">F357</f>
        <v>122</v>
      </c>
      <c r="G358" s="294">
        <f t="shared" si="28"/>
        <v>29280</v>
      </c>
    </row>
    <row r="359" spans="1:8" s="68" customFormat="1" hidden="1" thickBot="1" x14ac:dyDescent="0.25">
      <c r="A359" s="68">
        <v>1</v>
      </c>
      <c r="B359" s="287" t="s">
        <v>10</v>
      </c>
      <c r="C359" s="81"/>
      <c r="D359" s="81"/>
      <c r="E359" s="81"/>
      <c r="F359" s="81"/>
      <c r="G359" s="81"/>
      <c r="H359" s="241"/>
    </row>
    <row r="360" spans="1:8" hidden="1" x14ac:dyDescent="0.25">
      <c r="A360" s="68">
        <v>1</v>
      </c>
      <c r="B360" s="291"/>
      <c r="C360" s="257"/>
      <c r="D360" s="258"/>
      <c r="E360" s="258"/>
      <c r="F360" s="258"/>
      <c r="G360" s="258"/>
    </row>
    <row r="361" spans="1:8" hidden="1" x14ac:dyDescent="0.25">
      <c r="A361" s="68">
        <v>1</v>
      </c>
      <c r="B361" s="284" t="s">
        <v>127</v>
      </c>
      <c r="C361" s="63"/>
      <c r="D361" s="3"/>
      <c r="E361" s="3"/>
      <c r="F361" s="3"/>
      <c r="G361" s="3"/>
    </row>
    <row r="362" spans="1:8" s="46" customFormat="1" ht="18.75" hidden="1" customHeight="1" x14ac:dyDescent="0.25">
      <c r="A362" s="68">
        <v>1</v>
      </c>
      <c r="B362" s="21" t="s">
        <v>205</v>
      </c>
      <c r="C362" s="21"/>
      <c r="D362" s="74"/>
      <c r="E362" s="45"/>
      <c r="F362" s="45"/>
      <c r="G362" s="45"/>
      <c r="H362" s="261"/>
    </row>
    <row r="363" spans="1:8" s="46" customFormat="1" ht="30" hidden="1" x14ac:dyDescent="0.25">
      <c r="A363" s="68">
        <v>1</v>
      </c>
      <c r="B363" s="23" t="s">
        <v>322</v>
      </c>
      <c r="C363" s="47"/>
      <c r="D363" s="45">
        <f>SUM(D364,D365,D366,D367)</f>
        <v>38120</v>
      </c>
      <c r="E363" s="45"/>
      <c r="F363" s="45"/>
      <c r="G363" s="45"/>
      <c r="H363" s="261"/>
    </row>
    <row r="364" spans="1:8" s="46" customFormat="1" hidden="1" x14ac:dyDescent="0.25">
      <c r="A364" s="68">
        <v>1</v>
      </c>
      <c r="B364" s="48" t="s">
        <v>206</v>
      </c>
      <c r="C364" s="47"/>
      <c r="D364" s="45"/>
      <c r="E364" s="45"/>
      <c r="F364" s="45"/>
      <c r="G364" s="45"/>
      <c r="H364" s="261"/>
    </row>
    <row r="365" spans="1:8" s="46" customFormat="1" ht="36.75" hidden="1" customHeight="1" x14ac:dyDescent="0.25">
      <c r="A365" s="68">
        <v>1</v>
      </c>
      <c r="B365" s="48" t="s">
        <v>207</v>
      </c>
      <c r="C365" s="47"/>
      <c r="D365" s="3">
        <v>25625</v>
      </c>
      <c r="E365" s="45"/>
      <c r="F365" s="45"/>
      <c r="G365" s="45"/>
      <c r="H365" s="261"/>
    </row>
    <row r="366" spans="1:8" s="46" customFormat="1" ht="30" hidden="1" x14ac:dyDescent="0.25">
      <c r="A366" s="68">
        <v>1</v>
      </c>
      <c r="B366" s="48" t="s">
        <v>208</v>
      </c>
      <c r="C366" s="47"/>
      <c r="D366" s="3"/>
      <c r="E366" s="45"/>
      <c r="F366" s="45"/>
      <c r="G366" s="45"/>
      <c r="H366" s="261"/>
    </row>
    <row r="367" spans="1:8" s="46" customFormat="1" hidden="1" x14ac:dyDescent="0.25">
      <c r="A367" s="68">
        <v>1</v>
      </c>
      <c r="B367" s="23" t="s">
        <v>209</v>
      </c>
      <c r="C367" s="47"/>
      <c r="D367" s="3">
        <v>12495</v>
      </c>
      <c r="E367" s="45"/>
      <c r="F367" s="45"/>
      <c r="G367" s="45"/>
      <c r="H367" s="261"/>
    </row>
    <row r="368" spans="1:8" s="46" customFormat="1" ht="45" hidden="1" x14ac:dyDescent="0.25">
      <c r="A368" s="68">
        <v>1</v>
      </c>
      <c r="B368" s="23" t="s">
        <v>285</v>
      </c>
      <c r="C368" s="47"/>
      <c r="D368" s="13">
        <v>1375</v>
      </c>
      <c r="E368" s="45"/>
      <c r="F368" s="45"/>
      <c r="G368" s="45"/>
      <c r="H368" s="261"/>
    </row>
    <row r="369" spans="1:8" hidden="1" x14ac:dyDescent="0.25">
      <c r="A369" s="68">
        <v>1</v>
      </c>
      <c r="B369" s="24" t="s">
        <v>118</v>
      </c>
      <c r="C369" s="22"/>
      <c r="D369" s="3">
        <v>45000</v>
      </c>
      <c r="E369" s="3"/>
      <c r="F369" s="3"/>
      <c r="G369" s="3"/>
    </row>
    <row r="370" spans="1:8" s="46" customFormat="1" hidden="1" x14ac:dyDescent="0.25">
      <c r="A370" s="68">
        <v>1</v>
      </c>
      <c r="B370" s="44" t="s">
        <v>150</v>
      </c>
      <c r="C370" s="262"/>
      <c r="D370" s="3"/>
      <c r="E370" s="45"/>
      <c r="F370" s="45"/>
      <c r="G370" s="45"/>
      <c r="H370" s="261"/>
    </row>
    <row r="371" spans="1:8" s="46" customFormat="1" ht="15.75" hidden="1" customHeight="1" x14ac:dyDescent="0.25">
      <c r="A371" s="68">
        <v>1</v>
      </c>
      <c r="B371" s="49" t="s">
        <v>210</v>
      </c>
      <c r="C371" s="50"/>
      <c r="D371" s="47">
        <f>D363+ROUND(D369*3.2,0)</f>
        <v>182120</v>
      </c>
      <c r="E371" s="51"/>
      <c r="F371" s="51"/>
      <c r="G371" s="56"/>
      <c r="H371" s="261"/>
    </row>
    <row r="372" spans="1:8" s="46" customFormat="1" ht="15.75" hidden="1" customHeight="1" x14ac:dyDescent="0.25">
      <c r="A372" s="68">
        <v>1</v>
      </c>
      <c r="B372" s="21" t="s">
        <v>153</v>
      </c>
      <c r="C372" s="22"/>
      <c r="D372" s="3"/>
      <c r="E372" s="51"/>
      <c r="F372" s="51"/>
      <c r="G372" s="56"/>
      <c r="H372" s="261"/>
    </row>
    <row r="373" spans="1:8" s="46" customFormat="1" ht="32.25" hidden="1" customHeight="1" x14ac:dyDescent="0.25">
      <c r="A373" s="68">
        <v>1</v>
      </c>
      <c r="B373" s="23" t="s">
        <v>322</v>
      </c>
      <c r="C373" s="22"/>
      <c r="D373" s="3">
        <f>SUM(D374,D375,D382,D388,D389,D390)</f>
        <v>22442</v>
      </c>
      <c r="E373" s="51"/>
      <c r="F373" s="51"/>
      <c r="G373" s="56"/>
      <c r="H373" s="261"/>
    </row>
    <row r="374" spans="1:8" s="46" customFormat="1" ht="15.75" hidden="1" customHeight="1" x14ac:dyDescent="0.25">
      <c r="A374" s="68">
        <v>1</v>
      </c>
      <c r="B374" s="23" t="s">
        <v>206</v>
      </c>
      <c r="C374" s="22"/>
      <c r="D374" s="3"/>
      <c r="E374" s="51"/>
      <c r="F374" s="51"/>
      <c r="G374" s="56"/>
      <c r="H374" s="261"/>
    </row>
    <row r="375" spans="1:8" s="46" customFormat="1" ht="15.75" hidden="1" customHeight="1" x14ac:dyDescent="0.25">
      <c r="A375" s="68">
        <v>1</v>
      </c>
      <c r="B375" s="48" t="s">
        <v>211</v>
      </c>
      <c r="C375" s="22"/>
      <c r="D375" s="3">
        <f>D376+D377+D378+D380</f>
        <v>12964</v>
      </c>
      <c r="E375" s="51"/>
      <c r="F375" s="51"/>
      <c r="G375" s="56"/>
      <c r="H375" s="261"/>
    </row>
    <row r="376" spans="1:8" s="46" customFormat="1" ht="19.5" hidden="1" customHeight="1" x14ac:dyDescent="0.25">
      <c r="A376" s="68">
        <v>1</v>
      </c>
      <c r="B376" s="52" t="s">
        <v>212</v>
      </c>
      <c r="C376" s="22"/>
      <c r="D376" s="45">
        <f>10280-100</f>
        <v>10180</v>
      </c>
      <c r="E376" s="51"/>
      <c r="F376" s="51"/>
      <c r="G376" s="56"/>
      <c r="H376" s="261"/>
    </row>
    <row r="377" spans="1:8" s="46" customFormat="1" ht="15.75" hidden="1" customHeight="1" x14ac:dyDescent="0.25">
      <c r="A377" s="68">
        <v>1</v>
      </c>
      <c r="B377" s="52" t="s">
        <v>213</v>
      </c>
      <c r="C377" s="22"/>
      <c r="D377" s="45">
        <v>2784</v>
      </c>
      <c r="E377" s="51"/>
      <c r="F377" s="51"/>
      <c r="G377" s="56"/>
      <c r="H377" s="261"/>
    </row>
    <row r="378" spans="1:8" s="46" customFormat="1" ht="30.75" hidden="1" customHeight="1" x14ac:dyDescent="0.25">
      <c r="A378" s="68">
        <v>1</v>
      </c>
      <c r="B378" s="52" t="s">
        <v>214</v>
      </c>
      <c r="C378" s="22"/>
      <c r="D378" s="45"/>
      <c r="E378" s="51"/>
      <c r="F378" s="51"/>
      <c r="G378" s="56"/>
      <c r="H378" s="261"/>
    </row>
    <row r="379" spans="1:8" s="46" customFormat="1" hidden="1" x14ac:dyDescent="0.25">
      <c r="A379" s="68">
        <v>1</v>
      </c>
      <c r="B379" s="52" t="s">
        <v>215</v>
      </c>
      <c r="C379" s="22"/>
      <c r="D379" s="45"/>
      <c r="E379" s="51"/>
      <c r="F379" s="51"/>
      <c r="G379" s="56"/>
      <c r="H379" s="261"/>
    </row>
    <row r="380" spans="1:8" s="46" customFormat="1" ht="30" hidden="1" x14ac:dyDescent="0.25">
      <c r="A380" s="68">
        <v>1</v>
      </c>
      <c r="B380" s="52" t="s">
        <v>216</v>
      </c>
      <c r="C380" s="22"/>
      <c r="D380" s="45"/>
      <c r="E380" s="51"/>
      <c r="F380" s="51"/>
      <c r="G380" s="56"/>
      <c r="H380" s="261"/>
    </row>
    <row r="381" spans="1:8" s="46" customFormat="1" hidden="1" x14ac:dyDescent="0.25">
      <c r="A381" s="68">
        <v>1</v>
      </c>
      <c r="B381" s="52" t="s">
        <v>215</v>
      </c>
      <c r="C381" s="22"/>
      <c r="D381" s="76"/>
      <c r="E381" s="51"/>
      <c r="F381" s="51"/>
      <c r="G381" s="56"/>
      <c r="H381" s="261"/>
    </row>
    <row r="382" spans="1:8" s="46" customFormat="1" ht="30" hidden="1" customHeight="1" x14ac:dyDescent="0.25">
      <c r="A382" s="68">
        <v>1</v>
      </c>
      <c r="B382" s="48" t="s">
        <v>217</v>
      </c>
      <c r="C382" s="22"/>
      <c r="D382" s="3">
        <f>SUM(D383,D384,D386)</f>
        <v>9478</v>
      </c>
      <c r="E382" s="51"/>
      <c r="F382" s="51"/>
      <c r="G382" s="56"/>
      <c r="H382" s="261"/>
    </row>
    <row r="383" spans="1:8" s="46" customFormat="1" ht="30" hidden="1" x14ac:dyDescent="0.25">
      <c r="A383" s="68">
        <v>1</v>
      </c>
      <c r="B383" s="52" t="s">
        <v>218</v>
      </c>
      <c r="C383" s="22"/>
      <c r="D383" s="3">
        <f>7278+2200</f>
        <v>9478</v>
      </c>
      <c r="E383" s="51"/>
      <c r="F383" s="51"/>
      <c r="G383" s="56"/>
      <c r="H383" s="261"/>
    </row>
    <row r="384" spans="1:8" s="46" customFormat="1" ht="45" hidden="1" x14ac:dyDescent="0.25">
      <c r="A384" s="68">
        <v>1</v>
      </c>
      <c r="B384" s="52" t="s">
        <v>219</v>
      </c>
      <c r="C384" s="22"/>
      <c r="D384" s="42"/>
      <c r="E384" s="51"/>
      <c r="F384" s="51"/>
      <c r="G384" s="56"/>
      <c r="H384" s="261"/>
    </row>
    <row r="385" spans="1:8" s="46" customFormat="1" hidden="1" x14ac:dyDescent="0.25">
      <c r="A385" s="68">
        <v>1</v>
      </c>
      <c r="B385" s="52" t="s">
        <v>215</v>
      </c>
      <c r="C385" s="22"/>
      <c r="D385" s="42"/>
      <c r="E385" s="51"/>
      <c r="F385" s="51"/>
      <c r="G385" s="56"/>
      <c r="H385" s="261"/>
    </row>
    <row r="386" spans="1:8" s="46" customFormat="1" ht="45" hidden="1" x14ac:dyDescent="0.25">
      <c r="A386" s="68">
        <v>1</v>
      </c>
      <c r="B386" s="52" t="s">
        <v>220</v>
      </c>
      <c r="C386" s="22"/>
      <c r="D386" s="42"/>
      <c r="E386" s="51"/>
      <c r="F386" s="51"/>
      <c r="G386" s="56"/>
      <c r="H386" s="261"/>
    </row>
    <row r="387" spans="1:8" s="46" customFormat="1" hidden="1" x14ac:dyDescent="0.25">
      <c r="A387" s="68">
        <v>1</v>
      </c>
      <c r="B387" s="52" t="s">
        <v>215</v>
      </c>
      <c r="C387" s="22"/>
      <c r="D387" s="42"/>
      <c r="E387" s="51"/>
      <c r="F387" s="51"/>
      <c r="G387" s="56"/>
      <c r="H387" s="261"/>
    </row>
    <row r="388" spans="1:8" s="46" customFormat="1" ht="31.5" hidden="1" customHeight="1" x14ac:dyDescent="0.25">
      <c r="A388" s="68">
        <v>1</v>
      </c>
      <c r="B388" s="48" t="s">
        <v>221</v>
      </c>
      <c r="C388" s="22"/>
      <c r="D388" s="3"/>
      <c r="E388" s="51"/>
      <c r="F388" s="51"/>
      <c r="G388" s="56"/>
      <c r="H388" s="261"/>
    </row>
    <row r="389" spans="1:8" s="46" customFormat="1" ht="15.75" hidden="1" customHeight="1" x14ac:dyDescent="0.25">
      <c r="A389" s="68">
        <v>1</v>
      </c>
      <c r="B389" s="48" t="s">
        <v>222</v>
      </c>
      <c r="C389" s="22"/>
      <c r="D389" s="3"/>
      <c r="E389" s="51"/>
      <c r="F389" s="51"/>
      <c r="G389" s="56"/>
      <c r="H389" s="261"/>
    </row>
    <row r="390" spans="1:8" s="46" customFormat="1" ht="15.75" hidden="1" customHeight="1" x14ac:dyDescent="0.25">
      <c r="A390" s="68">
        <v>1</v>
      </c>
      <c r="B390" s="23" t="s">
        <v>223</v>
      </c>
      <c r="C390" s="22"/>
      <c r="D390" s="3"/>
      <c r="E390" s="51"/>
      <c r="F390" s="51"/>
      <c r="G390" s="56"/>
      <c r="H390" s="261"/>
    </row>
    <row r="391" spans="1:8" s="46" customFormat="1" hidden="1" x14ac:dyDescent="0.25">
      <c r="A391" s="68">
        <v>1</v>
      </c>
      <c r="B391" s="24" t="s">
        <v>118</v>
      </c>
      <c r="C391" s="47"/>
      <c r="D391" s="45"/>
      <c r="E391" s="51"/>
      <c r="F391" s="51"/>
      <c r="G391" s="56"/>
      <c r="H391" s="261"/>
    </row>
    <row r="392" spans="1:8" s="46" customFormat="1" hidden="1" x14ac:dyDescent="0.25">
      <c r="A392" s="68">
        <v>1</v>
      </c>
      <c r="B392" s="44" t="s">
        <v>150</v>
      </c>
      <c r="C392" s="47"/>
      <c r="D392" s="76"/>
      <c r="E392" s="51"/>
      <c r="F392" s="51"/>
      <c r="G392" s="56"/>
      <c r="H392" s="261"/>
    </row>
    <row r="393" spans="1:8" ht="30" hidden="1" x14ac:dyDescent="0.25">
      <c r="A393" s="68">
        <v>1</v>
      </c>
      <c r="B393" s="24" t="s">
        <v>119</v>
      </c>
      <c r="C393" s="22"/>
      <c r="D393" s="3">
        <v>15000</v>
      </c>
      <c r="E393" s="3"/>
      <c r="F393" s="3"/>
      <c r="G393" s="3"/>
    </row>
    <row r="394" spans="1:8" s="46" customFormat="1" ht="15.75" hidden="1" customHeight="1" x14ac:dyDescent="0.25">
      <c r="A394" s="68">
        <v>1</v>
      </c>
      <c r="B394" s="24" t="s">
        <v>224</v>
      </c>
      <c r="C394" s="22"/>
      <c r="D394" s="3"/>
      <c r="E394" s="51"/>
      <c r="F394" s="51"/>
      <c r="G394" s="56"/>
      <c r="H394" s="261"/>
    </row>
    <row r="395" spans="1:8" s="46" customFormat="1" hidden="1" x14ac:dyDescent="0.25">
      <c r="A395" s="68">
        <v>1</v>
      </c>
      <c r="B395" s="53" t="s">
        <v>225</v>
      </c>
      <c r="C395" s="22"/>
      <c r="D395" s="3"/>
      <c r="E395" s="51"/>
      <c r="F395" s="51"/>
      <c r="G395" s="56"/>
      <c r="H395" s="261"/>
    </row>
    <row r="396" spans="1:8" s="46" customFormat="1" hidden="1" x14ac:dyDescent="0.25">
      <c r="A396" s="68">
        <v>1</v>
      </c>
      <c r="B396" s="54" t="s">
        <v>152</v>
      </c>
      <c r="C396" s="22"/>
      <c r="D396" s="18">
        <f>D373+ROUND(D391*3.2,0)+D393</f>
        <v>37442</v>
      </c>
      <c r="E396" s="51"/>
      <c r="F396" s="51"/>
      <c r="G396" s="56"/>
      <c r="H396" s="261"/>
    </row>
    <row r="397" spans="1:8" s="46" customFormat="1" hidden="1" x14ac:dyDescent="0.25">
      <c r="A397" s="68">
        <v>1</v>
      </c>
      <c r="B397" s="55" t="s">
        <v>151</v>
      </c>
      <c r="C397" s="22"/>
      <c r="D397" s="18">
        <f>SUM(D371,D396)</f>
        <v>219562</v>
      </c>
      <c r="E397" s="51"/>
      <c r="F397" s="51"/>
      <c r="G397" s="56"/>
      <c r="H397" s="261"/>
    </row>
    <row r="398" spans="1:8" s="46" customFormat="1" hidden="1" x14ac:dyDescent="0.25">
      <c r="A398" s="68">
        <v>1</v>
      </c>
      <c r="B398" s="197" t="s">
        <v>120</v>
      </c>
      <c r="C398" s="22"/>
      <c r="D398" s="202">
        <f>D399</f>
        <v>1298</v>
      </c>
      <c r="E398" s="280"/>
      <c r="F398" s="280"/>
      <c r="G398" s="18"/>
      <c r="H398" s="261"/>
    </row>
    <row r="399" spans="1:8" s="46" customFormat="1" hidden="1" x14ac:dyDescent="0.25">
      <c r="A399" s="68">
        <v>1</v>
      </c>
      <c r="B399" s="297" t="s">
        <v>33</v>
      </c>
      <c r="C399" s="22"/>
      <c r="D399" s="3">
        <v>1298</v>
      </c>
      <c r="E399" s="280"/>
      <c r="F399" s="280"/>
      <c r="G399" s="18"/>
      <c r="H399" s="261"/>
    </row>
    <row r="400" spans="1:8" hidden="1" x14ac:dyDescent="0.25">
      <c r="A400" s="68">
        <v>1</v>
      </c>
      <c r="B400" s="34" t="s">
        <v>7</v>
      </c>
      <c r="C400" s="22"/>
      <c r="D400" s="3"/>
      <c r="E400" s="3"/>
      <c r="F400" s="3"/>
      <c r="G400" s="3"/>
    </row>
    <row r="401" spans="1:8" hidden="1" x14ac:dyDescent="0.25">
      <c r="A401" s="68">
        <v>1</v>
      </c>
      <c r="B401" s="43" t="s">
        <v>76</v>
      </c>
      <c r="C401" s="22"/>
      <c r="D401" s="3"/>
      <c r="E401" s="3"/>
      <c r="F401" s="3"/>
      <c r="G401" s="3"/>
    </row>
    <row r="402" spans="1:8" hidden="1" x14ac:dyDescent="0.25">
      <c r="A402" s="68">
        <v>1</v>
      </c>
      <c r="B402" s="30" t="s">
        <v>37</v>
      </c>
      <c r="C402" s="2">
        <v>240</v>
      </c>
      <c r="D402" s="3">
        <v>2003</v>
      </c>
      <c r="E402" s="60">
        <v>8</v>
      </c>
      <c r="F402" s="3">
        <f>ROUND(G402/C402,0)</f>
        <v>67</v>
      </c>
      <c r="G402" s="3">
        <f>ROUND(D402*E402,0)</f>
        <v>16024</v>
      </c>
    </row>
    <row r="403" spans="1:8" ht="18" hidden="1" customHeight="1" x14ac:dyDescent="0.25">
      <c r="A403" s="68">
        <v>1</v>
      </c>
      <c r="B403" s="219" t="s">
        <v>141</v>
      </c>
      <c r="C403" s="22"/>
      <c r="D403" s="35">
        <f>D401+D402</f>
        <v>2003</v>
      </c>
      <c r="E403" s="17">
        <f t="shared" ref="E403:E404" si="29">G403/D403</f>
        <v>8</v>
      </c>
      <c r="F403" s="35">
        <f>F401+F402</f>
        <v>67</v>
      </c>
      <c r="G403" s="35">
        <f>G401+G402</f>
        <v>16024</v>
      </c>
    </row>
    <row r="404" spans="1:8" ht="18" hidden="1" customHeight="1" x14ac:dyDescent="0.25">
      <c r="A404" s="68">
        <v>1</v>
      </c>
      <c r="B404" s="298" t="s">
        <v>116</v>
      </c>
      <c r="C404" s="78"/>
      <c r="D404" s="294">
        <f>D403</f>
        <v>2003</v>
      </c>
      <c r="E404" s="17">
        <f t="shared" si="29"/>
        <v>8</v>
      </c>
      <c r="F404" s="294">
        <f t="shared" ref="F404:G404" si="30">F403</f>
        <v>67</v>
      </c>
      <c r="G404" s="294">
        <f t="shared" si="30"/>
        <v>16024</v>
      </c>
    </row>
    <row r="405" spans="1:8" ht="15.75" hidden="1" thickBot="1" x14ac:dyDescent="0.3">
      <c r="A405" s="68">
        <v>1</v>
      </c>
      <c r="B405" s="253" t="s">
        <v>10</v>
      </c>
      <c r="C405" s="254"/>
      <c r="D405" s="254"/>
      <c r="E405" s="254"/>
      <c r="F405" s="254"/>
      <c r="G405" s="254"/>
    </row>
    <row r="406" spans="1:8" x14ac:dyDescent="0.25">
      <c r="A406" s="68">
        <v>1</v>
      </c>
      <c r="B406" s="78"/>
      <c r="C406" s="87"/>
      <c r="D406" s="3"/>
      <c r="E406" s="3"/>
      <c r="F406" s="3"/>
      <c r="G406" s="3"/>
    </row>
    <row r="407" spans="1:8" ht="18" customHeight="1" x14ac:dyDescent="0.25">
      <c r="A407" s="68">
        <v>1</v>
      </c>
      <c r="B407" s="242" t="s">
        <v>128</v>
      </c>
      <c r="C407" s="63"/>
      <c r="D407" s="3"/>
      <c r="E407" s="3"/>
      <c r="F407" s="3"/>
      <c r="G407" s="3"/>
    </row>
    <row r="408" spans="1:8" x14ac:dyDescent="0.25">
      <c r="A408" s="68">
        <v>1</v>
      </c>
      <c r="B408" s="69" t="s">
        <v>4</v>
      </c>
      <c r="C408" s="63"/>
      <c r="D408" s="3"/>
      <c r="E408" s="3"/>
      <c r="F408" s="3"/>
      <c r="G408" s="3"/>
    </row>
    <row r="409" spans="1:8" x14ac:dyDescent="0.25">
      <c r="A409" s="68">
        <v>1</v>
      </c>
      <c r="B409" s="59" t="s">
        <v>11</v>
      </c>
      <c r="C409" s="2">
        <v>340</v>
      </c>
      <c r="D409" s="3">
        <v>160</v>
      </c>
      <c r="E409" s="60">
        <v>3</v>
      </c>
      <c r="F409" s="3">
        <f>ROUND(G409/C409,0)</f>
        <v>1</v>
      </c>
      <c r="G409" s="3">
        <f>ROUND(D409*E409,0)</f>
        <v>480</v>
      </c>
    </row>
    <row r="410" spans="1:8" x14ac:dyDescent="0.25">
      <c r="A410" s="68">
        <v>1</v>
      </c>
      <c r="B410" s="59" t="s">
        <v>23</v>
      </c>
      <c r="C410" s="2">
        <v>340</v>
      </c>
      <c r="D410" s="3">
        <v>275</v>
      </c>
      <c r="E410" s="60">
        <v>3</v>
      </c>
      <c r="F410" s="3">
        <f>ROUND(G410/C410,0)</f>
        <v>2</v>
      </c>
      <c r="G410" s="3">
        <f>ROUND(D410*E410,0)</f>
        <v>825</v>
      </c>
    </row>
    <row r="411" spans="1:8" x14ac:dyDescent="0.25">
      <c r="A411" s="68">
        <v>1</v>
      </c>
      <c r="B411" s="54" t="s">
        <v>5</v>
      </c>
      <c r="C411" s="63"/>
      <c r="D411" s="18">
        <f>D409+D410</f>
        <v>435</v>
      </c>
      <c r="E411" s="17">
        <f>G411/D411</f>
        <v>3</v>
      </c>
      <c r="F411" s="18">
        <f>F409+F410</f>
        <v>3</v>
      </c>
      <c r="G411" s="18">
        <f>G409+G410</f>
        <v>1305</v>
      </c>
    </row>
    <row r="412" spans="1:8" s="46" customFormat="1" ht="18.75" customHeight="1" x14ac:dyDescent="0.25">
      <c r="A412" s="68">
        <v>1</v>
      </c>
      <c r="B412" s="21" t="s">
        <v>205</v>
      </c>
      <c r="C412" s="21"/>
      <c r="D412" s="74"/>
      <c r="E412" s="45"/>
      <c r="F412" s="45"/>
      <c r="G412" s="45"/>
      <c r="H412" s="261"/>
    </row>
    <row r="413" spans="1:8" s="46" customFormat="1" ht="30" x14ac:dyDescent="0.25">
      <c r="A413" s="68">
        <v>1</v>
      </c>
      <c r="B413" s="23" t="s">
        <v>322</v>
      </c>
      <c r="C413" s="47"/>
      <c r="D413" s="45">
        <f>SUM(D414,D415,D416,D417)</f>
        <v>48950</v>
      </c>
      <c r="E413" s="45"/>
      <c r="F413" s="45"/>
      <c r="G413" s="45"/>
      <c r="H413" s="261"/>
    </row>
    <row r="414" spans="1:8" s="46" customFormat="1" x14ac:dyDescent="0.25">
      <c r="A414" s="68">
        <v>1</v>
      </c>
      <c r="B414" s="48" t="s">
        <v>206</v>
      </c>
      <c r="C414" s="47"/>
      <c r="D414" s="45">
        <f>13000-1000</f>
        <v>12000</v>
      </c>
      <c r="E414" s="45"/>
      <c r="F414" s="45"/>
      <c r="G414" s="45"/>
      <c r="H414" s="261"/>
    </row>
    <row r="415" spans="1:8" s="46" customFormat="1" ht="36.75" customHeight="1" x14ac:dyDescent="0.25">
      <c r="A415" s="68">
        <v>1</v>
      </c>
      <c r="B415" s="48" t="s">
        <v>207</v>
      </c>
      <c r="C415" s="47"/>
      <c r="D415" s="3">
        <v>23950</v>
      </c>
      <c r="E415" s="45"/>
      <c r="F415" s="45"/>
      <c r="G415" s="45"/>
      <c r="H415" s="261"/>
    </row>
    <row r="416" spans="1:8" s="46" customFormat="1" ht="30" x14ac:dyDescent="0.25">
      <c r="A416" s="68">
        <v>1</v>
      </c>
      <c r="B416" s="48" t="s">
        <v>208</v>
      </c>
      <c r="C416" s="47"/>
      <c r="D416" s="3"/>
      <c r="E416" s="45"/>
      <c r="F416" s="45"/>
      <c r="G416" s="45"/>
      <c r="H416" s="261"/>
    </row>
    <row r="417" spans="1:8" s="46" customFormat="1" x14ac:dyDescent="0.25">
      <c r="A417" s="68">
        <v>1</v>
      </c>
      <c r="B417" s="23" t="s">
        <v>209</v>
      </c>
      <c r="C417" s="47"/>
      <c r="D417" s="3">
        <v>13000</v>
      </c>
      <c r="E417" s="45"/>
      <c r="F417" s="45"/>
      <c r="G417" s="45"/>
      <c r="H417" s="261"/>
    </row>
    <row r="418" spans="1:8" s="46" customFormat="1" ht="45" x14ac:dyDescent="0.25">
      <c r="A418" s="68">
        <v>1</v>
      </c>
      <c r="B418" s="23" t="s">
        <v>285</v>
      </c>
      <c r="C418" s="47"/>
      <c r="D418" s="13">
        <v>1029</v>
      </c>
      <c r="E418" s="45"/>
      <c r="F418" s="45"/>
      <c r="G418" s="45"/>
      <c r="H418" s="261"/>
    </row>
    <row r="419" spans="1:8" x14ac:dyDescent="0.25">
      <c r="A419" s="68">
        <v>1</v>
      </c>
      <c r="B419" s="24" t="s">
        <v>118</v>
      </c>
      <c r="C419" s="22"/>
      <c r="D419" s="3">
        <f>68960-1849</f>
        <v>67111</v>
      </c>
      <c r="E419" s="259"/>
      <c r="F419" s="259"/>
      <c r="G419" s="3"/>
    </row>
    <row r="420" spans="1:8" s="46" customFormat="1" x14ac:dyDescent="0.25">
      <c r="A420" s="68">
        <v>1</v>
      </c>
      <c r="B420" s="44" t="s">
        <v>150</v>
      </c>
      <c r="C420" s="262"/>
      <c r="D420" s="3"/>
      <c r="E420" s="45"/>
      <c r="F420" s="45"/>
      <c r="G420" s="45"/>
      <c r="H420" s="261"/>
    </row>
    <row r="421" spans="1:8" s="46" customFormat="1" ht="15.75" customHeight="1" x14ac:dyDescent="0.25">
      <c r="A421" s="68">
        <v>1</v>
      </c>
      <c r="B421" s="49" t="s">
        <v>210</v>
      </c>
      <c r="C421" s="50"/>
      <c r="D421" s="47">
        <f>D413+ROUND(D419*3.2,0)</f>
        <v>263705</v>
      </c>
      <c r="E421" s="51"/>
      <c r="F421" s="51"/>
      <c r="G421" s="56"/>
      <c r="H421" s="261"/>
    </row>
    <row r="422" spans="1:8" s="46" customFormat="1" ht="15.75" customHeight="1" x14ac:dyDescent="0.25">
      <c r="A422" s="68">
        <v>1</v>
      </c>
      <c r="B422" s="21" t="s">
        <v>153</v>
      </c>
      <c r="C422" s="22"/>
      <c r="D422" s="3"/>
      <c r="E422" s="51"/>
      <c r="F422" s="51"/>
      <c r="G422" s="56"/>
      <c r="H422" s="261"/>
    </row>
    <row r="423" spans="1:8" s="46" customFormat="1" ht="30.75" customHeight="1" x14ac:dyDescent="0.25">
      <c r="A423" s="68">
        <v>1</v>
      </c>
      <c r="B423" s="23" t="s">
        <v>322</v>
      </c>
      <c r="C423" s="22"/>
      <c r="D423" s="3">
        <f>SUM(D424,D425,D432,D438,D439,D440)</f>
        <v>32865</v>
      </c>
      <c r="E423" s="51"/>
      <c r="F423" s="51"/>
      <c r="G423" s="56"/>
      <c r="H423" s="261"/>
    </row>
    <row r="424" spans="1:8" s="46" customFormat="1" ht="15.75" customHeight="1" x14ac:dyDescent="0.25">
      <c r="A424" s="68">
        <v>1</v>
      </c>
      <c r="B424" s="23" t="s">
        <v>206</v>
      </c>
      <c r="C424" s="22"/>
      <c r="D424" s="3">
        <v>1000</v>
      </c>
      <c r="E424" s="51"/>
      <c r="F424" s="51"/>
      <c r="G424" s="56"/>
      <c r="H424" s="261"/>
    </row>
    <row r="425" spans="1:8" s="46" customFormat="1" ht="15.75" customHeight="1" x14ac:dyDescent="0.25">
      <c r="A425" s="68">
        <v>1</v>
      </c>
      <c r="B425" s="48" t="s">
        <v>211</v>
      </c>
      <c r="C425" s="22"/>
      <c r="D425" s="3">
        <f>D426+D427+D428+D430</f>
        <v>18915</v>
      </c>
      <c r="E425" s="51"/>
      <c r="F425" s="51"/>
      <c r="G425" s="56"/>
      <c r="H425" s="261"/>
    </row>
    <row r="426" spans="1:8" s="46" customFormat="1" ht="19.5" customHeight="1" x14ac:dyDescent="0.25">
      <c r="A426" s="68">
        <v>1</v>
      </c>
      <c r="B426" s="52" t="s">
        <v>212</v>
      </c>
      <c r="C426" s="22"/>
      <c r="D426" s="45">
        <f>14900-100</f>
        <v>14800</v>
      </c>
      <c r="E426" s="51"/>
      <c r="F426" s="51"/>
      <c r="G426" s="56"/>
      <c r="H426" s="261"/>
    </row>
    <row r="427" spans="1:8" s="46" customFormat="1" ht="15.75" customHeight="1" x14ac:dyDescent="0.25">
      <c r="A427" s="68">
        <v>1</v>
      </c>
      <c r="B427" s="52" t="s">
        <v>213</v>
      </c>
      <c r="C427" s="22"/>
      <c r="D427" s="45">
        <v>4115</v>
      </c>
      <c r="E427" s="51"/>
      <c r="F427" s="51"/>
      <c r="G427" s="56"/>
      <c r="H427" s="261"/>
    </row>
    <row r="428" spans="1:8" s="46" customFormat="1" ht="30.75" customHeight="1" x14ac:dyDescent="0.25">
      <c r="A428" s="68">
        <v>1</v>
      </c>
      <c r="B428" s="52" t="s">
        <v>214</v>
      </c>
      <c r="C428" s="22"/>
      <c r="D428" s="45"/>
      <c r="E428" s="51"/>
      <c r="F428" s="51"/>
      <c r="G428" s="56"/>
      <c r="H428" s="261"/>
    </row>
    <row r="429" spans="1:8" s="46" customFormat="1" x14ac:dyDescent="0.25">
      <c r="A429" s="68">
        <v>1</v>
      </c>
      <c r="B429" s="52" t="s">
        <v>215</v>
      </c>
      <c r="C429" s="22"/>
      <c r="D429" s="45"/>
      <c r="E429" s="51"/>
      <c r="F429" s="51"/>
      <c r="G429" s="56"/>
      <c r="H429" s="261"/>
    </row>
    <row r="430" spans="1:8" s="46" customFormat="1" ht="30" x14ac:dyDescent="0.25">
      <c r="A430" s="68">
        <v>1</v>
      </c>
      <c r="B430" s="52" t="s">
        <v>216</v>
      </c>
      <c r="C430" s="22"/>
      <c r="D430" s="45"/>
      <c r="E430" s="51"/>
      <c r="F430" s="51"/>
      <c r="G430" s="56"/>
      <c r="H430" s="261"/>
    </row>
    <row r="431" spans="1:8" s="46" customFormat="1" x14ac:dyDescent="0.25">
      <c r="A431" s="68">
        <v>1</v>
      </c>
      <c r="B431" s="52" t="s">
        <v>215</v>
      </c>
      <c r="C431" s="22"/>
      <c r="D431" s="76"/>
      <c r="E431" s="51"/>
      <c r="F431" s="51"/>
      <c r="G431" s="56"/>
      <c r="H431" s="261"/>
    </row>
    <row r="432" spans="1:8" s="46" customFormat="1" ht="30" customHeight="1" x14ac:dyDescent="0.25">
      <c r="A432" s="68">
        <v>1</v>
      </c>
      <c r="B432" s="48" t="s">
        <v>217</v>
      </c>
      <c r="C432" s="22"/>
      <c r="D432" s="3">
        <f>SUM(D433,D434,D436)</f>
        <v>10950</v>
      </c>
      <c r="E432" s="51"/>
      <c r="F432" s="51"/>
      <c r="G432" s="56"/>
      <c r="H432" s="261"/>
    </row>
    <row r="433" spans="1:8" s="46" customFormat="1" ht="30" x14ac:dyDescent="0.25">
      <c r="A433" s="68">
        <v>1</v>
      </c>
      <c r="B433" s="52" t="s">
        <v>218</v>
      </c>
      <c r="C433" s="22"/>
      <c r="D433" s="3">
        <v>10950</v>
      </c>
      <c r="E433" s="51"/>
      <c r="F433" s="51"/>
      <c r="G433" s="56"/>
      <c r="H433" s="261"/>
    </row>
    <row r="434" spans="1:8" s="46" customFormat="1" ht="45" x14ac:dyDescent="0.25">
      <c r="A434" s="68">
        <v>1</v>
      </c>
      <c r="B434" s="52" t="s">
        <v>219</v>
      </c>
      <c r="C434" s="22"/>
      <c r="D434" s="42"/>
      <c r="E434" s="51"/>
      <c r="F434" s="51"/>
      <c r="G434" s="56"/>
      <c r="H434" s="261"/>
    </row>
    <row r="435" spans="1:8" s="46" customFormat="1" x14ac:dyDescent="0.25">
      <c r="A435" s="68">
        <v>1</v>
      </c>
      <c r="B435" s="52" t="s">
        <v>215</v>
      </c>
      <c r="C435" s="22"/>
      <c r="D435" s="42"/>
      <c r="E435" s="51"/>
      <c r="F435" s="51"/>
      <c r="G435" s="56"/>
      <c r="H435" s="261"/>
    </row>
    <row r="436" spans="1:8" s="46" customFormat="1" ht="45" x14ac:dyDescent="0.25">
      <c r="A436" s="68">
        <v>1</v>
      </c>
      <c r="B436" s="52" t="s">
        <v>220</v>
      </c>
      <c r="C436" s="22"/>
      <c r="D436" s="42"/>
      <c r="E436" s="51"/>
      <c r="F436" s="51"/>
      <c r="G436" s="56"/>
      <c r="H436" s="261"/>
    </row>
    <row r="437" spans="1:8" s="46" customFormat="1" x14ac:dyDescent="0.25">
      <c r="A437" s="68">
        <v>1</v>
      </c>
      <c r="B437" s="52" t="s">
        <v>215</v>
      </c>
      <c r="C437" s="22"/>
      <c r="D437" s="42"/>
      <c r="E437" s="51"/>
      <c r="F437" s="51"/>
      <c r="G437" s="56"/>
      <c r="H437" s="261"/>
    </row>
    <row r="438" spans="1:8" s="46" customFormat="1" ht="31.5" customHeight="1" x14ac:dyDescent="0.25">
      <c r="A438" s="68">
        <v>1</v>
      </c>
      <c r="B438" s="48" t="s">
        <v>221</v>
      </c>
      <c r="C438" s="22"/>
      <c r="D438" s="3">
        <v>500</v>
      </c>
      <c r="E438" s="51"/>
      <c r="F438" s="51"/>
      <c r="G438" s="56"/>
      <c r="H438" s="261"/>
    </row>
    <row r="439" spans="1:8" s="46" customFormat="1" ht="15.75" customHeight="1" x14ac:dyDescent="0.25">
      <c r="A439" s="68">
        <v>1</v>
      </c>
      <c r="B439" s="48" t="s">
        <v>222</v>
      </c>
      <c r="C439" s="22"/>
      <c r="D439" s="3"/>
      <c r="E439" s="51"/>
      <c r="F439" s="51"/>
      <c r="G439" s="56"/>
      <c r="H439" s="261"/>
    </row>
    <row r="440" spans="1:8" s="46" customFormat="1" ht="15.75" customHeight="1" x14ac:dyDescent="0.25">
      <c r="A440" s="68">
        <v>1</v>
      </c>
      <c r="B440" s="23" t="s">
        <v>223</v>
      </c>
      <c r="C440" s="22"/>
      <c r="D440" s="3">
        <v>1500</v>
      </c>
      <c r="E440" s="51"/>
      <c r="F440" s="51"/>
      <c r="G440" s="56"/>
      <c r="H440" s="261"/>
    </row>
    <row r="441" spans="1:8" s="46" customFormat="1" x14ac:dyDescent="0.25">
      <c r="A441" s="68">
        <v>1</v>
      </c>
      <c r="B441" s="24" t="s">
        <v>118</v>
      </c>
      <c r="C441" s="47"/>
      <c r="D441" s="45"/>
      <c r="E441" s="51"/>
      <c r="F441" s="51"/>
      <c r="G441" s="56"/>
      <c r="H441" s="261"/>
    </row>
    <row r="442" spans="1:8" s="46" customFormat="1" x14ac:dyDescent="0.25">
      <c r="A442" s="68">
        <v>1</v>
      </c>
      <c r="B442" s="44" t="s">
        <v>150</v>
      </c>
      <c r="C442" s="47"/>
      <c r="D442" s="76"/>
      <c r="E442" s="51"/>
      <c r="F442" s="51"/>
      <c r="G442" s="56"/>
      <c r="H442" s="261"/>
    </row>
    <row r="443" spans="1:8" ht="30" x14ac:dyDescent="0.25">
      <c r="A443" s="68">
        <v>1</v>
      </c>
      <c r="B443" s="24" t="s">
        <v>119</v>
      </c>
      <c r="C443" s="22"/>
      <c r="D443" s="3">
        <v>20000</v>
      </c>
      <c r="E443" s="259"/>
      <c r="F443" s="259"/>
      <c r="G443" s="3"/>
    </row>
    <row r="444" spans="1:8" s="46" customFormat="1" ht="15.75" customHeight="1" x14ac:dyDescent="0.25">
      <c r="A444" s="68">
        <v>1</v>
      </c>
      <c r="B444" s="24" t="s">
        <v>224</v>
      </c>
      <c r="C444" s="22"/>
      <c r="D444" s="3"/>
      <c r="E444" s="51"/>
      <c r="F444" s="51"/>
      <c r="G444" s="56"/>
      <c r="H444" s="261"/>
    </row>
    <row r="445" spans="1:8" s="46" customFormat="1" x14ac:dyDescent="0.25">
      <c r="A445" s="68">
        <v>1</v>
      </c>
      <c r="B445" s="53"/>
      <c r="C445" s="22"/>
      <c r="D445" s="3"/>
      <c r="E445" s="51"/>
      <c r="F445" s="51"/>
      <c r="G445" s="56"/>
      <c r="H445" s="261"/>
    </row>
    <row r="446" spans="1:8" s="46" customFormat="1" x14ac:dyDescent="0.25">
      <c r="A446" s="68">
        <v>1</v>
      </c>
      <c r="B446" s="54" t="s">
        <v>152</v>
      </c>
      <c r="C446" s="22"/>
      <c r="D446" s="18">
        <f>D423+ROUND(D441*3.2,0)+D443</f>
        <v>52865</v>
      </c>
      <c r="E446" s="51"/>
      <c r="F446" s="51"/>
      <c r="G446" s="56"/>
      <c r="H446" s="261"/>
    </row>
    <row r="447" spans="1:8" s="46" customFormat="1" x14ac:dyDescent="0.25">
      <c r="A447" s="68">
        <v>1</v>
      </c>
      <c r="B447" s="55" t="s">
        <v>151</v>
      </c>
      <c r="C447" s="22"/>
      <c r="D447" s="18">
        <f>SUM(D421,D446)</f>
        <v>316570</v>
      </c>
      <c r="E447" s="51"/>
      <c r="F447" s="51"/>
      <c r="G447" s="56"/>
      <c r="H447" s="261"/>
    </row>
    <row r="448" spans="1:8" s="46" customFormat="1" x14ac:dyDescent="0.25">
      <c r="A448" s="68">
        <v>1</v>
      </c>
      <c r="B448" s="25" t="s">
        <v>120</v>
      </c>
      <c r="C448" s="22"/>
      <c r="D448" s="18">
        <f>SUM(D449:D466)</f>
        <v>196953</v>
      </c>
      <c r="E448" s="280"/>
      <c r="F448" s="280"/>
      <c r="G448" s="18"/>
      <c r="H448" s="261"/>
    </row>
    <row r="449" spans="1:8" s="46" customFormat="1" ht="30" x14ac:dyDescent="0.25">
      <c r="A449" s="68">
        <v>1</v>
      </c>
      <c r="B449" s="299" t="s">
        <v>233</v>
      </c>
      <c r="C449" s="22"/>
      <c r="D449" s="3">
        <v>37000</v>
      </c>
      <c r="E449" s="280"/>
      <c r="F449" s="280"/>
      <c r="G449" s="18"/>
      <c r="H449" s="261"/>
    </row>
    <row r="450" spans="1:8" s="46" customFormat="1" ht="30" x14ac:dyDescent="0.25">
      <c r="A450" s="68">
        <v>1</v>
      </c>
      <c r="B450" s="299" t="s">
        <v>234</v>
      </c>
      <c r="C450" s="22"/>
      <c r="D450" s="3">
        <v>3753</v>
      </c>
      <c r="E450" s="280"/>
      <c r="F450" s="280"/>
      <c r="G450" s="18"/>
      <c r="H450" s="261"/>
    </row>
    <row r="451" spans="1:8" s="46" customFormat="1" x14ac:dyDescent="0.25">
      <c r="A451" s="68"/>
      <c r="B451" s="299" t="s">
        <v>299</v>
      </c>
      <c r="C451" s="22"/>
      <c r="D451" s="3">
        <v>300</v>
      </c>
      <c r="E451" s="280"/>
      <c r="F451" s="280"/>
      <c r="G451" s="18"/>
      <c r="H451" s="261"/>
    </row>
    <row r="452" spans="1:8" s="46" customFormat="1" ht="45" x14ac:dyDescent="0.25">
      <c r="A452" s="68">
        <v>1</v>
      </c>
      <c r="B452" s="299" t="s">
        <v>316</v>
      </c>
      <c r="C452" s="22"/>
      <c r="D452" s="3">
        <v>6600</v>
      </c>
      <c r="E452" s="280"/>
      <c r="F452" s="280"/>
      <c r="G452" s="18"/>
      <c r="H452" s="261"/>
    </row>
    <row r="453" spans="1:8" s="46" customFormat="1" x14ac:dyDescent="0.25">
      <c r="A453" s="68">
        <v>1</v>
      </c>
      <c r="B453" s="299" t="s">
        <v>252</v>
      </c>
      <c r="C453" s="22"/>
      <c r="D453" s="3">
        <v>20</v>
      </c>
      <c r="E453" s="280"/>
      <c r="F453" s="280"/>
      <c r="G453" s="18"/>
      <c r="H453" s="261"/>
    </row>
    <row r="454" spans="1:8" s="46" customFormat="1" x14ac:dyDescent="0.25">
      <c r="A454" s="68">
        <v>1</v>
      </c>
      <c r="B454" s="299" t="s">
        <v>17</v>
      </c>
      <c r="C454" s="22"/>
      <c r="D454" s="3">
        <v>3300</v>
      </c>
      <c r="E454" s="280"/>
      <c r="F454" s="280"/>
      <c r="G454" s="18"/>
      <c r="H454" s="261"/>
    </row>
    <row r="455" spans="1:8" s="46" customFormat="1" x14ac:dyDescent="0.25">
      <c r="A455" s="68">
        <v>1</v>
      </c>
      <c r="B455" s="299" t="s">
        <v>55</v>
      </c>
      <c r="C455" s="22"/>
      <c r="D455" s="3">
        <v>1300</v>
      </c>
      <c r="E455" s="280"/>
      <c r="F455" s="280"/>
      <c r="G455" s="18"/>
      <c r="H455" s="261"/>
    </row>
    <row r="456" spans="1:8" s="46" customFormat="1" x14ac:dyDescent="0.25">
      <c r="A456" s="68">
        <v>1</v>
      </c>
      <c r="B456" s="299" t="s">
        <v>19</v>
      </c>
      <c r="C456" s="22"/>
      <c r="D456" s="3">
        <v>1781</v>
      </c>
      <c r="E456" s="280"/>
      <c r="F456" s="280"/>
      <c r="G456" s="18"/>
      <c r="H456" s="261"/>
    </row>
    <row r="457" spans="1:8" s="46" customFormat="1" ht="30" x14ac:dyDescent="0.25">
      <c r="A457" s="68">
        <v>1</v>
      </c>
      <c r="B457" s="299" t="s">
        <v>30</v>
      </c>
      <c r="C457" s="22"/>
      <c r="D457" s="3">
        <v>1461</v>
      </c>
      <c r="E457" s="280"/>
      <c r="F457" s="280"/>
      <c r="G457" s="18"/>
      <c r="H457" s="261"/>
    </row>
    <row r="458" spans="1:8" s="46" customFormat="1" x14ac:dyDescent="0.25">
      <c r="A458" s="68">
        <v>1</v>
      </c>
      <c r="B458" s="299" t="s">
        <v>269</v>
      </c>
      <c r="C458" s="22"/>
      <c r="D458" s="3">
        <v>5000</v>
      </c>
      <c r="E458" s="280"/>
      <c r="F458" s="280"/>
      <c r="G458" s="18"/>
      <c r="H458" s="261"/>
    </row>
    <row r="459" spans="1:8" s="46" customFormat="1" ht="30" x14ac:dyDescent="0.25">
      <c r="A459" s="68">
        <v>1</v>
      </c>
      <c r="B459" s="299" t="s">
        <v>274</v>
      </c>
      <c r="C459" s="22"/>
      <c r="D459" s="3">
        <v>2567</v>
      </c>
      <c r="E459" s="280"/>
      <c r="F459" s="280"/>
      <c r="G459" s="18"/>
      <c r="H459" s="261"/>
    </row>
    <row r="460" spans="1:8" s="46" customFormat="1" x14ac:dyDescent="0.25">
      <c r="A460" s="68">
        <v>1</v>
      </c>
      <c r="B460" s="299" t="s">
        <v>254</v>
      </c>
      <c r="C460" s="22"/>
      <c r="D460" s="3">
        <v>22</v>
      </c>
      <c r="E460" s="280"/>
      <c r="F460" s="280"/>
      <c r="G460" s="18"/>
      <c r="H460" s="261"/>
    </row>
    <row r="461" spans="1:8" s="46" customFormat="1" x14ac:dyDescent="0.25">
      <c r="A461" s="68">
        <v>1</v>
      </c>
      <c r="B461" s="299" t="s">
        <v>18</v>
      </c>
      <c r="C461" s="22"/>
      <c r="D461" s="3">
        <v>193</v>
      </c>
      <c r="E461" s="280"/>
      <c r="F461" s="280"/>
      <c r="G461" s="18"/>
      <c r="H461" s="261"/>
    </row>
    <row r="462" spans="1:8" s="46" customFormat="1" x14ac:dyDescent="0.25">
      <c r="A462" s="68">
        <v>1</v>
      </c>
      <c r="B462" s="299" t="s">
        <v>16</v>
      </c>
      <c r="C462" s="22"/>
      <c r="D462" s="3">
        <v>165</v>
      </c>
      <c r="E462" s="280"/>
      <c r="F462" s="280"/>
      <c r="G462" s="18"/>
      <c r="H462" s="261"/>
    </row>
    <row r="463" spans="1:8" s="46" customFormat="1" x14ac:dyDescent="0.25">
      <c r="A463" s="68">
        <v>1</v>
      </c>
      <c r="B463" s="299" t="s">
        <v>29</v>
      </c>
      <c r="C463" s="22"/>
      <c r="D463" s="3">
        <v>132000</v>
      </c>
      <c r="E463" s="280"/>
      <c r="F463" s="280"/>
      <c r="G463" s="18"/>
      <c r="H463" s="261"/>
    </row>
    <row r="464" spans="1:8" s="46" customFormat="1" x14ac:dyDescent="0.25">
      <c r="A464" s="68">
        <v>1</v>
      </c>
      <c r="B464" s="299" t="s">
        <v>257</v>
      </c>
      <c r="C464" s="22"/>
      <c r="D464" s="3">
        <v>293</v>
      </c>
      <c r="E464" s="280"/>
      <c r="F464" s="280"/>
      <c r="G464" s="18"/>
      <c r="H464" s="261"/>
    </row>
    <row r="465" spans="1:8" s="46" customFormat="1" x14ac:dyDescent="0.25">
      <c r="A465" s="68">
        <v>1</v>
      </c>
      <c r="B465" s="297" t="s">
        <v>33</v>
      </c>
      <c r="C465" s="22"/>
      <c r="D465" s="3">
        <v>598</v>
      </c>
      <c r="E465" s="280"/>
      <c r="F465" s="280"/>
      <c r="G465" s="18"/>
      <c r="H465" s="261"/>
    </row>
    <row r="466" spans="1:8" s="46" customFormat="1" x14ac:dyDescent="0.25">
      <c r="A466" s="68">
        <v>1</v>
      </c>
      <c r="B466" s="299" t="s">
        <v>228</v>
      </c>
      <c r="C466" s="22"/>
      <c r="D466" s="3">
        <v>600</v>
      </c>
      <c r="E466" s="280"/>
      <c r="F466" s="280"/>
      <c r="G466" s="18"/>
      <c r="H466" s="261"/>
    </row>
    <row r="467" spans="1:8" x14ac:dyDescent="0.25">
      <c r="A467" s="68">
        <v>1</v>
      </c>
      <c r="B467" s="34" t="s">
        <v>7</v>
      </c>
      <c r="C467" s="22"/>
      <c r="D467" s="3"/>
      <c r="E467" s="3"/>
      <c r="F467" s="3"/>
      <c r="G467" s="3"/>
    </row>
    <row r="468" spans="1:8" x14ac:dyDescent="0.25">
      <c r="A468" s="68">
        <v>1</v>
      </c>
      <c r="B468" s="43" t="s">
        <v>76</v>
      </c>
      <c r="C468" s="22"/>
      <c r="D468" s="3"/>
      <c r="E468" s="3"/>
      <c r="F468" s="3"/>
      <c r="G468" s="3"/>
    </row>
    <row r="469" spans="1:8" x14ac:dyDescent="0.25">
      <c r="A469" s="68">
        <v>1</v>
      </c>
      <c r="B469" s="30" t="s">
        <v>23</v>
      </c>
      <c r="C469" s="2">
        <v>240</v>
      </c>
      <c r="D469" s="3">
        <v>70</v>
      </c>
      <c r="E469" s="77">
        <v>8</v>
      </c>
      <c r="F469" s="3">
        <v>1</v>
      </c>
      <c r="G469" s="3">
        <f t="shared" ref="G469" si="31">ROUND(D469*E469,0)</f>
        <v>560</v>
      </c>
    </row>
    <row r="470" spans="1:8" x14ac:dyDescent="0.25">
      <c r="A470" s="68">
        <v>1</v>
      </c>
      <c r="B470" s="30" t="s">
        <v>277</v>
      </c>
      <c r="C470" s="2">
        <v>240</v>
      </c>
      <c r="D470" s="3">
        <v>460</v>
      </c>
      <c r="E470" s="77">
        <v>8</v>
      </c>
      <c r="F470" s="3">
        <f>ROUND(G470/C470,0)</f>
        <v>15</v>
      </c>
      <c r="G470" s="3">
        <f t="shared" ref="G470:G479" si="32">ROUND(D470*E470,0)</f>
        <v>3680</v>
      </c>
    </row>
    <row r="471" spans="1:8" x14ac:dyDescent="0.25">
      <c r="A471" s="68">
        <v>1</v>
      </c>
      <c r="B471" s="30" t="s">
        <v>57</v>
      </c>
      <c r="C471" s="2">
        <v>240</v>
      </c>
      <c r="D471" s="3">
        <v>14</v>
      </c>
      <c r="E471" s="77">
        <v>8</v>
      </c>
      <c r="F471" s="3">
        <f t="shared" ref="F471:F479" si="33">ROUND(G471/C471,0)</f>
        <v>0</v>
      </c>
      <c r="G471" s="3">
        <f t="shared" si="32"/>
        <v>112</v>
      </c>
    </row>
    <row r="472" spans="1:8" x14ac:dyDescent="0.25">
      <c r="A472" s="68">
        <v>1</v>
      </c>
      <c r="B472" s="30" t="s">
        <v>278</v>
      </c>
      <c r="C472" s="2">
        <v>240</v>
      </c>
      <c r="D472" s="3">
        <v>45</v>
      </c>
      <c r="E472" s="77">
        <v>8</v>
      </c>
      <c r="F472" s="3">
        <f t="shared" si="33"/>
        <v>2</v>
      </c>
      <c r="G472" s="3">
        <f t="shared" si="32"/>
        <v>360</v>
      </c>
    </row>
    <row r="473" spans="1:8" x14ac:dyDescent="0.25">
      <c r="A473" s="68">
        <v>1</v>
      </c>
      <c r="B473" s="30" t="s">
        <v>21</v>
      </c>
      <c r="C473" s="2">
        <v>240</v>
      </c>
      <c r="D473" s="3">
        <v>167</v>
      </c>
      <c r="E473" s="77">
        <v>8</v>
      </c>
      <c r="F473" s="3">
        <f t="shared" si="33"/>
        <v>6</v>
      </c>
      <c r="G473" s="3">
        <f t="shared" si="32"/>
        <v>1336</v>
      </c>
    </row>
    <row r="474" spans="1:8" x14ac:dyDescent="0.25">
      <c r="A474" s="68">
        <v>1</v>
      </c>
      <c r="B474" s="30" t="s">
        <v>279</v>
      </c>
      <c r="C474" s="2">
        <v>240</v>
      </c>
      <c r="D474" s="3">
        <v>20</v>
      </c>
      <c r="E474" s="77">
        <v>4</v>
      </c>
      <c r="F474" s="3">
        <f t="shared" si="33"/>
        <v>0</v>
      </c>
      <c r="G474" s="3">
        <f t="shared" si="32"/>
        <v>80</v>
      </c>
    </row>
    <row r="475" spans="1:8" x14ac:dyDescent="0.25">
      <c r="A475" s="68">
        <v>1</v>
      </c>
      <c r="B475" s="30" t="s">
        <v>283</v>
      </c>
      <c r="C475" s="2">
        <v>240</v>
      </c>
      <c r="D475" s="3">
        <v>31</v>
      </c>
      <c r="E475" s="77">
        <v>8</v>
      </c>
      <c r="F475" s="3">
        <f t="shared" si="33"/>
        <v>1</v>
      </c>
      <c r="G475" s="3">
        <f t="shared" si="32"/>
        <v>248</v>
      </c>
    </row>
    <row r="476" spans="1:8" x14ac:dyDescent="0.25">
      <c r="A476" s="68">
        <v>1</v>
      </c>
      <c r="B476" s="30" t="s">
        <v>280</v>
      </c>
      <c r="C476" s="2">
        <v>240</v>
      </c>
      <c r="D476" s="3">
        <v>53</v>
      </c>
      <c r="E476" s="77">
        <v>4</v>
      </c>
      <c r="F476" s="3">
        <f t="shared" si="33"/>
        <v>1</v>
      </c>
      <c r="G476" s="3">
        <f t="shared" si="32"/>
        <v>212</v>
      </c>
    </row>
    <row r="477" spans="1:8" x14ac:dyDescent="0.25">
      <c r="A477" s="68"/>
      <c r="B477" s="30" t="s">
        <v>297</v>
      </c>
      <c r="C477" s="2">
        <v>240</v>
      </c>
      <c r="D477" s="3">
        <v>15</v>
      </c>
      <c r="E477" s="77">
        <v>4</v>
      </c>
      <c r="F477" s="3">
        <f>ROUND(G477/C477,0)</f>
        <v>0</v>
      </c>
      <c r="G477" s="3">
        <f>ROUND(D477*E477,0)</f>
        <v>60</v>
      </c>
    </row>
    <row r="478" spans="1:8" x14ac:dyDescent="0.25">
      <c r="A478" s="68">
        <v>1</v>
      </c>
      <c r="B478" s="30" t="s">
        <v>281</v>
      </c>
      <c r="C478" s="2">
        <v>240</v>
      </c>
      <c r="D478" s="3">
        <v>1187</v>
      </c>
      <c r="E478" s="77">
        <v>4</v>
      </c>
      <c r="F478" s="3">
        <f t="shared" si="33"/>
        <v>20</v>
      </c>
      <c r="G478" s="3">
        <f t="shared" si="32"/>
        <v>4748</v>
      </c>
    </row>
    <row r="479" spans="1:8" x14ac:dyDescent="0.25">
      <c r="A479" s="68">
        <v>1</v>
      </c>
      <c r="B479" s="30" t="s">
        <v>47</v>
      </c>
      <c r="C479" s="2">
        <v>240</v>
      </c>
      <c r="D479" s="3">
        <v>200</v>
      </c>
      <c r="E479" s="77">
        <v>8</v>
      </c>
      <c r="F479" s="3">
        <f t="shared" si="33"/>
        <v>7</v>
      </c>
      <c r="G479" s="3">
        <f t="shared" si="32"/>
        <v>1600</v>
      </c>
    </row>
    <row r="480" spans="1:8" ht="18" customHeight="1" x14ac:dyDescent="0.25">
      <c r="A480" s="68">
        <v>1</v>
      </c>
      <c r="B480" s="219" t="s">
        <v>141</v>
      </c>
      <c r="C480" s="2"/>
      <c r="D480" s="300">
        <f>SUM(D469:D479)</f>
        <v>2262</v>
      </c>
      <c r="E480" s="17">
        <f t="shared" ref="E480:E481" si="34">G480/D480</f>
        <v>5.7453580901856762</v>
      </c>
      <c r="F480" s="300">
        <f t="shared" ref="F480:G480" si="35">SUM(F469:F479)</f>
        <v>53</v>
      </c>
      <c r="G480" s="300">
        <f t="shared" si="35"/>
        <v>12996</v>
      </c>
    </row>
    <row r="481" spans="1:8" ht="18" customHeight="1" x14ac:dyDescent="0.25">
      <c r="A481" s="68">
        <v>1</v>
      </c>
      <c r="B481" s="298" t="s">
        <v>116</v>
      </c>
      <c r="C481" s="2"/>
      <c r="D481" s="294">
        <f>D480</f>
        <v>2262</v>
      </c>
      <c r="E481" s="17">
        <f t="shared" si="34"/>
        <v>5.7453580901856762</v>
      </c>
      <c r="F481" s="294">
        <f t="shared" ref="F481:G481" si="36">F480</f>
        <v>53</v>
      </c>
      <c r="G481" s="294">
        <f t="shared" si="36"/>
        <v>12996</v>
      </c>
    </row>
    <row r="482" spans="1:8" x14ac:dyDescent="0.25">
      <c r="A482" s="68">
        <v>1</v>
      </c>
      <c r="B482" s="88" t="s">
        <v>10</v>
      </c>
      <c r="C482" s="81"/>
      <c r="D482" s="81"/>
      <c r="E482" s="81"/>
      <c r="F482" s="81"/>
      <c r="G482" s="81"/>
    </row>
    <row r="483" spans="1:8" hidden="1" x14ac:dyDescent="0.25">
      <c r="A483" s="68">
        <v>1</v>
      </c>
      <c r="B483" s="291"/>
      <c r="C483" s="257"/>
      <c r="D483" s="258"/>
      <c r="E483" s="258"/>
      <c r="F483" s="258"/>
      <c r="G483" s="258"/>
    </row>
    <row r="484" spans="1:8" ht="24.75" hidden="1" customHeight="1" x14ac:dyDescent="0.25">
      <c r="A484" s="68">
        <v>1</v>
      </c>
      <c r="B484" s="284" t="s">
        <v>129</v>
      </c>
      <c r="C484" s="63"/>
      <c r="D484" s="3"/>
      <c r="E484" s="3"/>
      <c r="F484" s="3"/>
      <c r="G484" s="3"/>
    </row>
    <row r="485" spans="1:8" s="46" customFormat="1" ht="18.75" hidden="1" customHeight="1" x14ac:dyDescent="0.25">
      <c r="A485" s="68">
        <v>1</v>
      </c>
      <c r="B485" s="21" t="s">
        <v>205</v>
      </c>
      <c r="C485" s="21"/>
      <c r="D485" s="74"/>
      <c r="E485" s="45"/>
      <c r="F485" s="45"/>
      <c r="G485" s="45"/>
      <c r="H485" s="261"/>
    </row>
    <row r="486" spans="1:8" s="46" customFormat="1" ht="30" hidden="1" x14ac:dyDescent="0.25">
      <c r="A486" s="68">
        <v>1</v>
      </c>
      <c r="B486" s="23" t="s">
        <v>322</v>
      </c>
      <c r="C486" s="47"/>
      <c r="D486" s="45">
        <f>SUM(D487,D488,D489,D490)</f>
        <v>38674</v>
      </c>
      <c r="E486" s="45"/>
      <c r="F486" s="45"/>
      <c r="G486" s="45"/>
      <c r="H486" s="261"/>
    </row>
    <row r="487" spans="1:8" s="46" customFormat="1" hidden="1" x14ac:dyDescent="0.25">
      <c r="A487" s="68">
        <v>1</v>
      </c>
      <c r="B487" s="48" t="s">
        <v>206</v>
      </c>
      <c r="C487" s="47"/>
      <c r="D487" s="45"/>
      <c r="E487" s="45"/>
      <c r="F487" s="45"/>
      <c r="G487" s="45"/>
      <c r="H487" s="261"/>
    </row>
    <row r="488" spans="1:8" s="46" customFormat="1" ht="17.25" hidden="1" customHeight="1" x14ac:dyDescent="0.25">
      <c r="A488" s="68">
        <v>1</v>
      </c>
      <c r="B488" s="48" t="s">
        <v>207</v>
      </c>
      <c r="C488" s="47"/>
      <c r="D488" s="3">
        <v>28100</v>
      </c>
      <c r="E488" s="45"/>
      <c r="F488" s="45"/>
      <c r="G488" s="45"/>
      <c r="H488" s="261"/>
    </row>
    <row r="489" spans="1:8" s="46" customFormat="1" ht="30" hidden="1" x14ac:dyDescent="0.25">
      <c r="A489" s="68">
        <v>1</v>
      </c>
      <c r="B489" s="48" t="s">
        <v>208</v>
      </c>
      <c r="C489" s="47"/>
      <c r="D489" s="3">
        <v>300</v>
      </c>
      <c r="E489" s="45"/>
      <c r="F489" s="45"/>
      <c r="G489" s="45"/>
      <c r="H489" s="261"/>
    </row>
    <row r="490" spans="1:8" s="46" customFormat="1" hidden="1" x14ac:dyDescent="0.25">
      <c r="A490" s="68">
        <v>1</v>
      </c>
      <c r="B490" s="23" t="s">
        <v>209</v>
      </c>
      <c r="C490" s="47"/>
      <c r="D490" s="3">
        <v>10274</v>
      </c>
      <c r="E490" s="45"/>
      <c r="F490" s="45"/>
      <c r="G490" s="45"/>
      <c r="H490" s="261"/>
    </row>
    <row r="491" spans="1:8" s="46" customFormat="1" ht="45" hidden="1" x14ac:dyDescent="0.25">
      <c r="A491" s="68">
        <v>1</v>
      </c>
      <c r="B491" s="23" t="s">
        <v>285</v>
      </c>
      <c r="C491" s="47"/>
      <c r="D491" s="13">
        <v>941</v>
      </c>
      <c r="E491" s="45"/>
      <c r="F491" s="45"/>
      <c r="G491" s="45"/>
      <c r="H491" s="261"/>
    </row>
    <row r="492" spans="1:8" hidden="1" x14ac:dyDescent="0.25">
      <c r="A492" s="68">
        <v>1</v>
      </c>
      <c r="B492" s="24" t="s">
        <v>118</v>
      </c>
      <c r="C492" s="22"/>
      <c r="D492" s="3">
        <f>D493+D495/8.5</f>
        <v>53100</v>
      </c>
      <c r="E492" s="3"/>
      <c r="F492" s="3"/>
      <c r="G492" s="3"/>
    </row>
    <row r="493" spans="1:8" hidden="1" x14ac:dyDescent="0.25">
      <c r="A493" s="68">
        <v>1</v>
      </c>
      <c r="B493" s="24" t="s">
        <v>259</v>
      </c>
      <c r="C493" s="207"/>
      <c r="D493" s="3">
        <f>60050-6950</f>
        <v>53100</v>
      </c>
      <c r="E493" s="3"/>
      <c r="F493" s="3"/>
      <c r="G493" s="3"/>
    </row>
    <row r="494" spans="1:8" hidden="1" x14ac:dyDescent="0.25">
      <c r="A494" s="68"/>
      <c r="B494" s="24" t="s">
        <v>261</v>
      </c>
      <c r="C494" s="207"/>
      <c r="D494" s="3"/>
      <c r="E494" s="3"/>
      <c r="F494" s="3"/>
      <c r="G494" s="3"/>
    </row>
    <row r="495" spans="1:8" s="46" customFormat="1" hidden="1" x14ac:dyDescent="0.25">
      <c r="A495" s="68">
        <v>1</v>
      </c>
      <c r="B495" s="44" t="s">
        <v>324</v>
      </c>
      <c r="C495" s="262"/>
      <c r="D495" s="3"/>
      <c r="E495" s="45"/>
      <c r="F495" s="45"/>
      <c r="G495" s="45"/>
      <c r="H495" s="301"/>
    </row>
    <row r="496" spans="1:8" s="46" customFormat="1" ht="15.75" hidden="1" customHeight="1" x14ac:dyDescent="0.25">
      <c r="A496" s="68">
        <v>1</v>
      </c>
      <c r="B496" s="49" t="s">
        <v>210</v>
      </c>
      <c r="C496" s="50"/>
      <c r="D496" s="47">
        <f>D486+D495/3.9+D493*3.2</f>
        <v>208594</v>
      </c>
      <c r="E496" s="51"/>
      <c r="F496" s="51"/>
      <c r="G496" s="56"/>
      <c r="H496" s="261"/>
    </row>
    <row r="497" spans="1:8" s="46" customFormat="1" ht="15.75" hidden="1" customHeight="1" x14ac:dyDescent="0.25">
      <c r="A497" s="68">
        <v>1</v>
      </c>
      <c r="B497" s="21" t="s">
        <v>153</v>
      </c>
      <c r="C497" s="22"/>
      <c r="D497" s="3"/>
      <c r="E497" s="51"/>
      <c r="F497" s="51"/>
      <c r="G497" s="56"/>
      <c r="H497" s="261"/>
    </row>
    <row r="498" spans="1:8" s="46" customFormat="1" ht="32.25" hidden="1" customHeight="1" x14ac:dyDescent="0.25">
      <c r="A498" s="68">
        <v>1</v>
      </c>
      <c r="B498" s="23" t="s">
        <v>322</v>
      </c>
      <c r="C498" s="22"/>
      <c r="D498" s="3">
        <f>SUM(D499,D500,D507,D513,D514,D515)</f>
        <v>32791</v>
      </c>
      <c r="E498" s="51"/>
      <c r="F498" s="51"/>
      <c r="G498" s="56"/>
      <c r="H498" s="261"/>
    </row>
    <row r="499" spans="1:8" s="46" customFormat="1" ht="15.75" hidden="1" customHeight="1" x14ac:dyDescent="0.25">
      <c r="A499" s="68">
        <v>1</v>
      </c>
      <c r="B499" s="23" t="s">
        <v>206</v>
      </c>
      <c r="C499" s="22"/>
      <c r="D499" s="3"/>
      <c r="E499" s="51"/>
      <c r="F499" s="51"/>
      <c r="G499" s="56"/>
      <c r="H499" s="261"/>
    </row>
    <row r="500" spans="1:8" s="46" customFormat="1" ht="15.75" hidden="1" customHeight="1" x14ac:dyDescent="0.25">
      <c r="A500" s="68">
        <v>1</v>
      </c>
      <c r="B500" s="48" t="s">
        <v>211</v>
      </c>
      <c r="C500" s="22"/>
      <c r="D500" s="3">
        <f>D501+D502+D503+D505</f>
        <v>8983</v>
      </c>
      <c r="E500" s="51"/>
      <c r="F500" s="51"/>
      <c r="G500" s="56"/>
      <c r="H500" s="261"/>
    </row>
    <row r="501" spans="1:8" s="46" customFormat="1" ht="19.5" hidden="1" customHeight="1" x14ac:dyDescent="0.25">
      <c r="A501" s="68">
        <v>1</v>
      </c>
      <c r="B501" s="52" t="s">
        <v>212</v>
      </c>
      <c r="C501" s="22"/>
      <c r="D501" s="45">
        <f>6942-942</f>
        <v>6000</v>
      </c>
      <c r="E501" s="51"/>
      <c r="F501" s="51"/>
      <c r="G501" s="56"/>
      <c r="H501" s="261"/>
    </row>
    <row r="502" spans="1:8" s="46" customFormat="1" ht="15.75" hidden="1" customHeight="1" x14ac:dyDescent="0.25">
      <c r="A502" s="68">
        <v>1</v>
      </c>
      <c r="B502" s="52" t="s">
        <v>213</v>
      </c>
      <c r="C502" s="22"/>
      <c r="D502" s="45">
        <v>1809</v>
      </c>
      <c r="E502" s="51"/>
      <c r="F502" s="51"/>
      <c r="G502" s="56"/>
      <c r="H502" s="261"/>
    </row>
    <row r="503" spans="1:8" s="46" customFormat="1" ht="30.75" hidden="1" customHeight="1" x14ac:dyDescent="0.25">
      <c r="A503" s="68">
        <v>1</v>
      </c>
      <c r="B503" s="52" t="s">
        <v>214</v>
      </c>
      <c r="C503" s="22"/>
      <c r="D503" s="45">
        <v>835</v>
      </c>
      <c r="E503" s="51"/>
      <c r="F503" s="51"/>
      <c r="G503" s="657"/>
      <c r="H503" s="261"/>
    </row>
    <row r="504" spans="1:8" s="46" customFormat="1" hidden="1" x14ac:dyDescent="0.25">
      <c r="A504" s="68">
        <v>1</v>
      </c>
      <c r="B504" s="52" t="s">
        <v>215</v>
      </c>
      <c r="C504" s="22"/>
      <c r="D504" s="45">
        <v>97</v>
      </c>
      <c r="E504" s="51"/>
      <c r="F504" s="51"/>
      <c r="G504" s="56"/>
      <c r="H504" s="261"/>
    </row>
    <row r="505" spans="1:8" s="46" customFormat="1" ht="30" hidden="1" x14ac:dyDescent="0.25">
      <c r="A505" s="68">
        <v>1</v>
      </c>
      <c r="B505" s="52" t="s">
        <v>216</v>
      </c>
      <c r="C505" s="22"/>
      <c r="D505" s="45">
        <v>339</v>
      </c>
      <c r="E505" s="51"/>
      <c r="F505" s="51"/>
      <c r="G505" s="56"/>
      <c r="H505" s="261"/>
    </row>
    <row r="506" spans="1:8" s="46" customFormat="1" hidden="1" x14ac:dyDescent="0.25">
      <c r="A506" s="68">
        <v>1</v>
      </c>
      <c r="B506" s="52" t="s">
        <v>215</v>
      </c>
      <c r="C506" s="22"/>
      <c r="D506" s="76">
        <v>48</v>
      </c>
      <c r="E506" s="51"/>
      <c r="F506" s="51"/>
      <c r="G506" s="56"/>
      <c r="H506" s="261"/>
    </row>
    <row r="507" spans="1:8" s="46" customFormat="1" ht="30" hidden="1" customHeight="1" x14ac:dyDescent="0.25">
      <c r="A507" s="68">
        <v>1</v>
      </c>
      <c r="B507" s="48" t="s">
        <v>217</v>
      </c>
      <c r="C507" s="22"/>
      <c r="D507" s="3">
        <f>SUM(D508,D509,D511)</f>
        <v>23808</v>
      </c>
      <c r="E507" s="51"/>
      <c r="F507" s="51"/>
      <c r="G507" s="56"/>
      <c r="H507" s="261"/>
    </row>
    <row r="508" spans="1:8" s="46" customFormat="1" ht="30" hidden="1" x14ac:dyDescent="0.25">
      <c r="A508" s="68">
        <v>1</v>
      </c>
      <c r="B508" s="52" t="s">
        <v>218</v>
      </c>
      <c r="C508" s="22"/>
      <c r="D508" s="3">
        <f>2793+2400</f>
        <v>5193</v>
      </c>
      <c r="E508" s="51"/>
      <c r="F508" s="51"/>
      <c r="G508" s="56"/>
      <c r="H508" s="261"/>
    </row>
    <row r="509" spans="1:8" s="46" customFormat="1" ht="45" hidden="1" x14ac:dyDescent="0.25">
      <c r="A509" s="68">
        <v>1</v>
      </c>
      <c r="B509" s="52" t="s">
        <v>219</v>
      </c>
      <c r="C509" s="22"/>
      <c r="D509" s="42">
        <v>16085</v>
      </c>
      <c r="E509" s="51"/>
      <c r="F509" s="51"/>
      <c r="G509" s="56"/>
      <c r="H509" s="261"/>
    </row>
    <row r="510" spans="1:8" s="46" customFormat="1" hidden="1" x14ac:dyDescent="0.25">
      <c r="A510" s="68">
        <v>1</v>
      </c>
      <c r="B510" s="52" t="s">
        <v>215</v>
      </c>
      <c r="C510" s="22"/>
      <c r="D510" s="42">
        <v>3500</v>
      </c>
      <c r="E510" s="51"/>
      <c r="F510" s="51"/>
      <c r="G510" s="56"/>
      <c r="H510" s="261"/>
    </row>
    <row r="511" spans="1:8" s="46" customFormat="1" ht="45" hidden="1" x14ac:dyDescent="0.25">
      <c r="A511" s="68">
        <v>1</v>
      </c>
      <c r="B511" s="52" t="s">
        <v>220</v>
      </c>
      <c r="C511" s="22"/>
      <c r="D511" s="42">
        <v>2530</v>
      </c>
      <c r="E511" s="51"/>
      <c r="F511" s="51"/>
      <c r="G511" s="56"/>
      <c r="H511" s="261"/>
    </row>
    <row r="512" spans="1:8" s="46" customFormat="1" hidden="1" x14ac:dyDescent="0.25">
      <c r="A512" s="68">
        <v>1</v>
      </c>
      <c r="B512" s="52" t="s">
        <v>215</v>
      </c>
      <c r="C512" s="22"/>
      <c r="D512" s="42">
        <v>1830</v>
      </c>
      <c r="E512" s="51"/>
      <c r="F512" s="51"/>
      <c r="G512" s="56"/>
      <c r="H512" s="261"/>
    </row>
    <row r="513" spans="1:8" s="46" customFormat="1" ht="31.5" hidden="1" customHeight="1" x14ac:dyDescent="0.25">
      <c r="A513" s="68">
        <v>1</v>
      </c>
      <c r="B513" s="48" t="s">
        <v>221</v>
      </c>
      <c r="C513" s="22"/>
      <c r="D513" s="3"/>
      <c r="E513" s="51"/>
      <c r="F513" s="51"/>
      <c r="G513" s="56"/>
      <c r="H513" s="261"/>
    </row>
    <row r="514" spans="1:8" s="46" customFormat="1" ht="15.75" hidden="1" customHeight="1" x14ac:dyDescent="0.25">
      <c r="A514" s="68">
        <v>1</v>
      </c>
      <c r="B514" s="48" t="s">
        <v>222</v>
      </c>
      <c r="C514" s="22"/>
      <c r="D514" s="3"/>
      <c r="E514" s="51"/>
      <c r="F514" s="51"/>
      <c r="G514" s="56"/>
      <c r="H514" s="261"/>
    </row>
    <row r="515" spans="1:8" s="46" customFormat="1" ht="15.75" hidden="1" customHeight="1" x14ac:dyDescent="0.25">
      <c r="A515" s="68">
        <v>1</v>
      </c>
      <c r="B515" s="23" t="s">
        <v>223</v>
      </c>
      <c r="C515" s="22"/>
      <c r="D515" s="3"/>
      <c r="E515" s="51"/>
      <c r="F515" s="51"/>
      <c r="G515" s="56"/>
      <c r="H515" s="261"/>
    </row>
    <row r="516" spans="1:8" s="46" customFormat="1" hidden="1" x14ac:dyDescent="0.25">
      <c r="A516" s="68">
        <v>1</v>
      </c>
      <c r="B516" s="24" t="s">
        <v>118</v>
      </c>
      <c r="C516" s="47"/>
      <c r="D516" s="45"/>
      <c r="E516" s="51"/>
      <c r="F516" s="51"/>
      <c r="G516" s="56"/>
      <c r="H516" s="261"/>
    </row>
    <row r="517" spans="1:8" s="46" customFormat="1" hidden="1" x14ac:dyDescent="0.25">
      <c r="A517" s="68">
        <v>1</v>
      </c>
      <c r="B517" s="44" t="s">
        <v>150</v>
      </c>
      <c r="C517" s="47"/>
      <c r="D517" s="76"/>
      <c r="E517" s="51"/>
      <c r="F517" s="51"/>
      <c r="G517" s="56"/>
      <c r="H517" s="261"/>
    </row>
    <row r="518" spans="1:8" ht="30" hidden="1" x14ac:dyDescent="0.25">
      <c r="A518" s="68">
        <v>1</v>
      </c>
      <c r="B518" s="24" t="s">
        <v>119</v>
      </c>
      <c r="C518" s="22"/>
      <c r="D518" s="3">
        <v>17400</v>
      </c>
      <c r="E518" s="3"/>
      <c r="F518" s="3"/>
      <c r="G518" s="3"/>
    </row>
    <row r="519" spans="1:8" s="46" customFormat="1" ht="15.75" hidden="1" customHeight="1" x14ac:dyDescent="0.25">
      <c r="A519" s="68">
        <v>1</v>
      </c>
      <c r="B519" s="24" t="s">
        <v>224</v>
      </c>
      <c r="C519" s="22"/>
      <c r="D519" s="3"/>
      <c r="E519" s="51"/>
      <c r="F519" s="51"/>
      <c r="G519" s="56"/>
      <c r="H519" s="261"/>
    </row>
    <row r="520" spans="1:8" s="46" customFormat="1" hidden="1" x14ac:dyDescent="0.25">
      <c r="A520" s="68">
        <v>1</v>
      </c>
      <c r="B520" s="53"/>
      <c r="C520" s="22"/>
      <c r="D520" s="3"/>
      <c r="E520" s="51"/>
      <c r="F520" s="51"/>
      <c r="G520" s="56"/>
      <c r="H520" s="261"/>
    </row>
    <row r="521" spans="1:8" s="46" customFormat="1" hidden="1" x14ac:dyDescent="0.25">
      <c r="A521" s="68">
        <v>1</v>
      </c>
      <c r="B521" s="54" t="s">
        <v>152</v>
      </c>
      <c r="C521" s="22"/>
      <c r="D521" s="18">
        <f>D498+ROUND(D516*3.2,0)+D518</f>
        <v>50191</v>
      </c>
      <c r="E521" s="51"/>
      <c r="F521" s="51"/>
      <c r="G521" s="56"/>
      <c r="H521" s="261"/>
    </row>
    <row r="522" spans="1:8" s="46" customFormat="1" hidden="1" x14ac:dyDescent="0.25">
      <c r="A522" s="68">
        <v>1</v>
      </c>
      <c r="B522" s="55" t="s">
        <v>151</v>
      </c>
      <c r="C522" s="22"/>
      <c r="D522" s="18">
        <f>SUM(D496,D521)</f>
        <v>258785</v>
      </c>
      <c r="E522" s="51"/>
      <c r="F522" s="51"/>
      <c r="G522" s="56"/>
      <c r="H522" s="261"/>
    </row>
    <row r="523" spans="1:8" hidden="1" x14ac:dyDescent="0.25">
      <c r="A523" s="68">
        <v>1</v>
      </c>
      <c r="B523" s="34" t="s">
        <v>7</v>
      </c>
      <c r="C523" s="302"/>
      <c r="D523" s="302"/>
      <c r="E523" s="3"/>
      <c r="F523" s="3"/>
      <c r="G523" s="3"/>
    </row>
    <row r="524" spans="1:8" hidden="1" x14ac:dyDescent="0.25">
      <c r="A524" s="68">
        <v>1</v>
      </c>
      <c r="B524" s="43" t="s">
        <v>76</v>
      </c>
      <c r="C524" s="22"/>
      <c r="D524" s="302"/>
      <c r="E524" s="3"/>
      <c r="F524" s="3"/>
      <c r="G524" s="3"/>
    </row>
    <row r="525" spans="1:8" hidden="1" x14ac:dyDescent="0.25">
      <c r="A525" s="68">
        <v>1</v>
      </c>
      <c r="B525" s="30" t="s">
        <v>37</v>
      </c>
      <c r="C525" s="2">
        <v>240</v>
      </c>
      <c r="D525" s="3">
        <v>1560</v>
      </c>
      <c r="E525" s="60">
        <v>8</v>
      </c>
      <c r="F525" s="3">
        <f>ROUND(G525/C525,0)</f>
        <v>52</v>
      </c>
      <c r="G525" s="3">
        <f>ROUND(D525*E525,0)</f>
        <v>12480</v>
      </c>
    </row>
    <row r="526" spans="1:8" hidden="1" x14ac:dyDescent="0.25">
      <c r="A526" s="68">
        <v>1</v>
      </c>
      <c r="B526" s="30" t="s">
        <v>26</v>
      </c>
      <c r="C526" s="2">
        <v>240</v>
      </c>
      <c r="D526" s="3">
        <v>240</v>
      </c>
      <c r="E526" s="60">
        <v>8</v>
      </c>
      <c r="F526" s="3">
        <f>ROUND(G526/C526,0)</f>
        <v>8</v>
      </c>
      <c r="G526" s="3">
        <f>ROUND(D526*E526,0)</f>
        <v>1920</v>
      </c>
    </row>
    <row r="527" spans="1:8" ht="18.75" hidden="1" customHeight="1" x14ac:dyDescent="0.25">
      <c r="A527" s="68">
        <v>1</v>
      </c>
      <c r="B527" s="219" t="s">
        <v>141</v>
      </c>
      <c r="C527" s="22"/>
      <c r="D527" s="35">
        <f>D525+D526</f>
        <v>1800</v>
      </c>
      <c r="E527" s="85">
        <f>E525</f>
        <v>8</v>
      </c>
      <c r="F527" s="35">
        <f t="shared" ref="F527:G527" si="37">F525+F526</f>
        <v>60</v>
      </c>
      <c r="G527" s="35">
        <f t="shared" si="37"/>
        <v>14400</v>
      </c>
    </row>
    <row r="528" spans="1:8" ht="18.75" hidden="1" customHeight="1" x14ac:dyDescent="0.25">
      <c r="A528" s="68">
        <v>1</v>
      </c>
      <c r="B528" s="298" t="s">
        <v>116</v>
      </c>
      <c r="C528" s="78"/>
      <c r="D528" s="294">
        <f t="shared" ref="D528" si="38">D527</f>
        <v>1800</v>
      </c>
      <c r="E528" s="303">
        <f t="shared" ref="E528:G528" si="39">E527</f>
        <v>8</v>
      </c>
      <c r="F528" s="294">
        <f t="shared" si="39"/>
        <v>60</v>
      </c>
      <c r="G528" s="294">
        <f t="shared" si="39"/>
        <v>14400</v>
      </c>
    </row>
    <row r="529" spans="1:8" ht="15.75" hidden="1" thickBot="1" x14ac:dyDescent="0.3">
      <c r="A529" s="68">
        <v>1</v>
      </c>
      <c r="B529" s="253" t="s">
        <v>10</v>
      </c>
      <c r="C529" s="254"/>
      <c r="D529" s="254"/>
      <c r="E529" s="254"/>
      <c r="F529" s="254"/>
      <c r="G529" s="254"/>
    </row>
    <row r="530" spans="1:8" ht="18.75" customHeight="1" x14ac:dyDescent="0.25">
      <c r="A530" s="68">
        <v>1</v>
      </c>
      <c r="B530" s="671" t="s">
        <v>130</v>
      </c>
      <c r="C530" s="266"/>
      <c r="D530" s="3"/>
      <c r="E530" s="3"/>
      <c r="F530" s="3"/>
      <c r="G530" s="3"/>
    </row>
    <row r="531" spans="1:8" s="46" customFormat="1" ht="18.75" customHeight="1" x14ac:dyDescent="0.25">
      <c r="A531" s="68">
        <v>1</v>
      </c>
      <c r="B531" s="21" t="s">
        <v>205</v>
      </c>
      <c r="C531" s="21"/>
      <c r="D531" s="74"/>
      <c r="E531" s="45"/>
      <c r="F531" s="45"/>
      <c r="G531" s="45"/>
      <c r="H531" s="261"/>
    </row>
    <row r="532" spans="1:8" s="46" customFormat="1" ht="30" x14ac:dyDescent="0.25">
      <c r="A532" s="68">
        <v>1</v>
      </c>
      <c r="B532" s="23" t="s">
        <v>322</v>
      </c>
      <c r="C532" s="47"/>
      <c r="D532" s="45">
        <f>SUM(D534,D535,D536,D537)+D533/2.7</f>
        <v>19430.518518518518</v>
      </c>
      <c r="E532" s="45"/>
      <c r="F532" s="45"/>
      <c r="G532" s="45"/>
      <c r="H532" s="261"/>
    </row>
    <row r="533" spans="1:8" s="46" customFormat="1" x14ac:dyDescent="0.25">
      <c r="A533" s="68">
        <v>1</v>
      </c>
      <c r="B533" s="23" t="s">
        <v>286</v>
      </c>
      <c r="C533" s="28"/>
      <c r="D533" s="3">
        <f>112+100</f>
        <v>212</v>
      </c>
      <c r="E533" s="28"/>
      <c r="F533" s="28"/>
      <c r="G533" s="28"/>
      <c r="H533" s="261"/>
    </row>
    <row r="534" spans="1:8" s="46" customFormat="1" x14ac:dyDescent="0.25">
      <c r="A534" s="68">
        <v>1</v>
      </c>
      <c r="B534" s="48" t="s">
        <v>206</v>
      </c>
      <c r="C534" s="47"/>
      <c r="D534" s="45"/>
      <c r="E534" s="45"/>
      <c r="F534" s="45"/>
      <c r="G534" s="45"/>
      <c r="H534" s="261"/>
    </row>
    <row r="535" spans="1:8" s="46" customFormat="1" ht="17.25" customHeight="1" x14ac:dyDescent="0.25">
      <c r="A535" s="68">
        <v>1</v>
      </c>
      <c r="B535" s="48" t="s">
        <v>207</v>
      </c>
      <c r="C535" s="47"/>
      <c r="D535" s="3">
        <v>480</v>
      </c>
      <c r="E535" s="45"/>
      <c r="F535" s="45"/>
      <c r="G535" s="45"/>
      <c r="H535" s="261"/>
    </row>
    <row r="536" spans="1:8" s="46" customFormat="1" ht="30" x14ac:dyDescent="0.25">
      <c r="A536" s="68">
        <v>1</v>
      </c>
      <c r="B536" s="48" t="s">
        <v>208</v>
      </c>
      <c r="C536" s="47"/>
      <c r="D536" s="3">
        <v>194</v>
      </c>
      <c r="E536" s="45"/>
      <c r="F536" s="45"/>
      <c r="G536" s="45"/>
      <c r="H536" s="261"/>
    </row>
    <row r="537" spans="1:8" s="46" customFormat="1" x14ac:dyDescent="0.25">
      <c r="A537" s="68">
        <v>1</v>
      </c>
      <c r="B537" s="23" t="s">
        <v>209</v>
      </c>
      <c r="C537" s="47"/>
      <c r="D537" s="3">
        <f>20678-2000</f>
        <v>18678</v>
      </c>
      <c r="E537" s="45"/>
      <c r="F537" s="45"/>
      <c r="G537" s="45"/>
      <c r="H537" s="261"/>
    </row>
    <row r="538" spans="1:8" s="46" customFormat="1" ht="45" x14ac:dyDescent="0.25">
      <c r="A538" s="68">
        <v>1</v>
      </c>
      <c r="B538" s="23" t="s">
        <v>285</v>
      </c>
      <c r="C538" s="47"/>
      <c r="D538" s="13">
        <v>575</v>
      </c>
      <c r="E538" s="45"/>
      <c r="F538" s="45"/>
      <c r="G538" s="45"/>
      <c r="H538" s="261"/>
    </row>
    <row r="539" spans="1:8" x14ac:dyDescent="0.25">
      <c r="A539" s="68">
        <v>1</v>
      </c>
      <c r="B539" s="24" t="s">
        <v>118</v>
      </c>
      <c r="C539" s="22"/>
      <c r="D539" s="3">
        <f>D540+D541</f>
        <v>42088.23529411765</v>
      </c>
      <c r="E539" s="3"/>
      <c r="F539" s="3"/>
      <c r="G539" s="3"/>
    </row>
    <row r="540" spans="1:8" x14ac:dyDescent="0.25">
      <c r="A540" s="68">
        <v>1</v>
      </c>
      <c r="B540" s="24" t="s">
        <v>259</v>
      </c>
      <c r="C540" s="207"/>
      <c r="D540" s="3">
        <f>39172-2000</f>
        <v>37172</v>
      </c>
      <c r="E540" s="3"/>
      <c r="F540" s="3"/>
      <c r="G540" s="3"/>
    </row>
    <row r="541" spans="1:8" x14ac:dyDescent="0.25">
      <c r="A541" s="68">
        <v>1</v>
      </c>
      <c r="B541" s="24" t="s">
        <v>261</v>
      </c>
      <c r="C541" s="207"/>
      <c r="D541" s="13">
        <f>D542/8.5</f>
        <v>4916.2352941176468</v>
      </c>
      <c r="E541" s="3"/>
      <c r="F541" s="3"/>
      <c r="G541" s="3"/>
    </row>
    <row r="542" spans="1:8" s="46" customFormat="1" x14ac:dyDescent="0.25">
      <c r="A542" s="68">
        <v>1</v>
      </c>
      <c r="B542" s="44" t="s">
        <v>260</v>
      </c>
      <c r="C542" s="262"/>
      <c r="D542" s="3">
        <f>41888-100</f>
        <v>41788</v>
      </c>
      <c r="E542" s="45"/>
      <c r="F542" s="45"/>
      <c r="G542" s="45"/>
      <c r="H542" s="261"/>
    </row>
    <row r="543" spans="1:8" s="46" customFormat="1" ht="15.75" customHeight="1" x14ac:dyDescent="0.25">
      <c r="A543" s="68">
        <v>1</v>
      </c>
      <c r="B543" s="49" t="s">
        <v>210</v>
      </c>
      <c r="C543" s="50"/>
      <c r="D543" s="47">
        <f>D532+ROUND(D540*3.2,0)+D542/3.9</f>
        <v>149095.39031339029</v>
      </c>
      <c r="E543" s="51"/>
      <c r="F543" s="51"/>
      <c r="G543" s="56"/>
      <c r="H543" s="261"/>
    </row>
    <row r="544" spans="1:8" s="46" customFormat="1" ht="15.75" customHeight="1" x14ac:dyDescent="0.25">
      <c r="A544" s="68">
        <v>1</v>
      </c>
      <c r="B544" s="21" t="s">
        <v>153</v>
      </c>
      <c r="C544" s="22"/>
      <c r="D544" s="3"/>
      <c r="E544" s="51"/>
      <c r="F544" s="51"/>
      <c r="G544" s="56"/>
      <c r="H544" s="261"/>
    </row>
    <row r="545" spans="1:8" s="46" customFormat="1" ht="36.75" customHeight="1" x14ac:dyDescent="0.25">
      <c r="A545" s="68">
        <v>1</v>
      </c>
      <c r="B545" s="23" t="s">
        <v>322</v>
      </c>
      <c r="C545" s="22"/>
      <c r="D545" s="3">
        <f>SUM(D546,D547,D554,D560,D561,D562)</f>
        <v>29126</v>
      </c>
      <c r="E545" s="51"/>
      <c r="F545" s="51"/>
      <c r="G545" s="56"/>
      <c r="H545" s="261"/>
    </row>
    <row r="546" spans="1:8" s="46" customFormat="1" ht="15.75" customHeight="1" x14ac:dyDescent="0.25">
      <c r="A546" s="68">
        <v>1</v>
      </c>
      <c r="B546" s="23" t="s">
        <v>206</v>
      </c>
      <c r="C546" s="22"/>
      <c r="D546" s="3"/>
      <c r="E546" s="51"/>
      <c r="F546" s="51"/>
      <c r="G546" s="56"/>
      <c r="H546" s="261"/>
    </row>
    <row r="547" spans="1:8" s="46" customFormat="1" ht="15.75" customHeight="1" x14ac:dyDescent="0.25">
      <c r="A547" s="68">
        <v>1</v>
      </c>
      <c r="B547" s="48" t="s">
        <v>211</v>
      </c>
      <c r="C547" s="22"/>
      <c r="D547" s="3">
        <f>D548+D549+D550+D552</f>
        <v>6923</v>
      </c>
      <c r="E547" s="51"/>
      <c r="F547" s="51"/>
      <c r="G547" s="56"/>
      <c r="H547" s="261"/>
    </row>
    <row r="548" spans="1:8" s="46" customFormat="1" ht="19.5" customHeight="1" x14ac:dyDescent="0.25">
      <c r="A548" s="68">
        <v>1</v>
      </c>
      <c r="B548" s="52" t="s">
        <v>212</v>
      </c>
      <c r="C548" s="22"/>
      <c r="D548" s="45">
        <f>5669-1269</f>
        <v>4400</v>
      </c>
      <c r="E548" s="51"/>
      <c r="F548" s="51"/>
      <c r="G548" s="56"/>
      <c r="H548" s="261"/>
    </row>
    <row r="549" spans="1:8" s="46" customFormat="1" ht="15.75" customHeight="1" x14ac:dyDescent="0.25">
      <c r="A549" s="68">
        <v>1</v>
      </c>
      <c r="B549" s="52" t="s">
        <v>213</v>
      </c>
      <c r="C549" s="22"/>
      <c r="D549" s="45">
        <v>1338</v>
      </c>
      <c r="E549" s="51"/>
      <c r="F549" s="51"/>
      <c r="G549" s="56"/>
      <c r="H549" s="261"/>
    </row>
    <row r="550" spans="1:8" s="46" customFormat="1" ht="30.75" customHeight="1" x14ac:dyDescent="0.25">
      <c r="A550" s="68">
        <v>1</v>
      </c>
      <c r="B550" s="52" t="s">
        <v>214</v>
      </c>
      <c r="C550" s="22"/>
      <c r="D550" s="45">
        <v>864</v>
      </c>
      <c r="E550" s="51"/>
      <c r="F550" s="51"/>
      <c r="G550" s="56"/>
      <c r="H550" s="261"/>
    </row>
    <row r="551" spans="1:8" s="46" customFormat="1" x14ac:dyDescent="0.25">
      <c r="A551" s="68">
        <v>1</v>
      </c>
      <c r="B551" s="52" t="s">
        <v>215</v>
      </c>
      <c r="C551" s="22"/>
      <c r="D551" s="45">
        <v>90</v>
      </c>
      <c r="E551" s="51"/>
      <c r="F551" s="51"/>
      <c r="G551" s="56"/>
      <c r="H551" s="261"/>
    </row>
    <row r="552" spans="1:8" s="46" customFormat="1" ht="30" x14ac:dyDescent="0.25">
      <c r="A552" s="68">
        <v>1</v>
      </c>
      <c r="B552" s="52" t="s">
        <v>216</v>
      </c>
      <c r="C552" s="22"/>
      <c r="D552" s="45">
        <v>321</v>
      </c>
      <c r="E552" s="51"/>
      <c r="F552" s="51"/>
      <c r="G552" s="56"/>
      <c r="H552" s="261"/>
    </row>
    <row r="553" spans="1:8" s="46" customFormat="1" x14ac:dyDescent="0.25">
      <c r="A553" s="68">
        <v>1</v>
      </c>
      <c r="B553" s="52" t="s">
        <v>215</v>
      </c>
      <c r="C553" s="22"/>
      <c r="D553" s="76">
        <v>38</v>
      </c>
      <c r="E553" s="51"/>
      <c r="F553" s="51"/>
      <c r="G553" s="56"/>
      <c r="H553" s="261"/>
    </row>
    <row r="554" spans="1:8" s="46" customFormat="1" ht="30" customHeight="1" x14ac:dyDescent="0.25">
      <c r="A554" s="68">
        <v>1</v>
      </c>
      <c r="B554" s="48" t="s">
        <v>217</v>
      </c>
      <c r="C554" s="22"/>
      <c r="D554" s="3">
        <f>SUM(D555,D556,D558)</f>
        <v>22203</v>
      </c>
      <c r="E554" s="51"/>
      <c r="F554" s="51"/>
      <c r="G554" s="56"/>
      <c r="H554" s="261"/>
    </row>
    <row r="555" spans="1:8" s="46" customFormat="1" ht="30" x14ac:dyDescent="0.25">
      <c r="A555" s="68">
        <v>1</v>
      </c>
      <c r="B555" s="52" t="s">
        <v>218</v>
      </c>
      <c r="C555" s="22"/>
      <c r="D555" s="3">
        <f>4300+2000</f>
        <v>6300</v>
      </c>
      <c r="E555" s="51"/>
      <c r="F555" s="51"/>
      <c r="G555" s="56"/>
      <c r="H555" s="261"/>
    </row>
    <row r="556" spans="1:8" s="46" customFormat="1" ht="45" x14ac:dyDescent="0.25">
      <c r="A556" s="68">
        <v>1</v>
      </c>
      <c r="B556" s="52" t="s">
        <v>219</v>
      </c>
      <c r="C556" s="22"/>
      <c r="D556" s="42">
        <v>15298</v>
      </c>
      <c r="E556" s="51"/>
      <c r="F556" s="51"/>
      <c r="G556" s="56"/>
      <c r="H556" s="261"/>
    </row>
    <row r="557" spans="1:8" s="46" customFormat="1" x14ac:dyDescent="0.25">
      <c r="A557" s="68">
        <v>1</v>
      </c>
      <c r="B557" s="52" t="s">
        <v>215</v>
      </c>
      <c r="C557" s="22"/>
      <c r="D557" s="42">
        <v>3900</v>
      </c>
      <c r="E557" s="51"/>
      <c r="F557" s="51"/>
      <c r="G557" s="56"/>
      <c r="H557" s="261"/>
    </row>
    <row r="558" spans="1:8" s="46" customFormat="1" ht="45" x14ac:dyDescent="0.25">
      <c r="A558" s="68">
        <v>1</v>
      </c>
      <c r="B558" s="52" t="s">
        <v>220</v>
      </c>
      <c r="C558" s="22"/>
      <c r="D558" s="42">
        <v>605</v>
      </c>
      <c r="E558" s="51"/>
      <c r="F558" s="51"/>
      <c r="G558" s="56"/>
      <c r="H558" s="261"/>
    </row>
    <row r="559" spans="1:8" s="46" customFormat="1" x14ac:dyDescent="0.25">
      <c r="A559" s="68">
        <v>1</v>
      </c>
      <c r="B559" s="52" t="s">
        <v>215</v>
      </c>
      <c r="C559" s="22"/>
      <c r="D559" s="42">
        <v>462</v>
      </c>
      <c r="E559" s="51"/>
      <c r="F559" s="51"/>
      <c r="G559" s="56"/>
      <c r="H559" s="261"/>
    </row>
    <row r="560" spans="1:8" s="46" customFormat="1" ht="31.5" customHeight="1" x14ac:dyDescent="0.25">
      <c r="A560" s="68">
        <v>1</v>
      </c>
      <c r="B560" s="48" t="s">
        <v>221</v>
      </c>
      <c r="C560" s="22"/>
      <c r="D560" s="3"/>
      <c r="E560" s="51"/>
      <c r="F560" s="51"/>
      <c r="G560" s="56"/>
      <c r="H560" s="261"/>
    </row>
    <row r="561" spans="1:8" s="46" customFormat="1" ht="15.75" customHeight="1" x14ac:dyDescent="0.25">
      <c r="A561" s="68">
        <v>1</v>
      </c>
      <c r="B561" s="48" t="s">
        <v>222</v>
      </c>
      <c r="C561" s="22"/>
      <c r="D561" s="3"/>
      <c r="E561" s="51"/>
      <c r="F561" s="51"/>
      <c r="G561" s="56"/>
      <c r="H561" s="261"/>
    </row>
    <row r="562" spans="1:8" s="46" customFormat="1" ht="15.75" customHeight="1" x14ac:dyDescent="0.25">
      <c r="A562" s="68">
        <v>1</v>
      </c>
      <c r="B562" s="23" t="s">
        <v>223</v>
      </c>
      <c r="C562" s="22"/>
      <c r="D562" s="3"/>
      <c r="E562" s="51"/>
      <c r="F562" s="51"/>
      <c r="G562" s="56"/>
      <c r="H562" s="261"/>
    </row>
    <row r="563" spans="1:8" s="46" customFormat="1" x14ac:dyDescent="0.25">
      <c r="A563" s="68">
        <v>1</v>
      </c>
      <c r="B563" s="24" t="s">
        <v>118</v>
      </c>
      <c r="C563" s="47"/>
      <c r="D563" s="45"/>
      <c r="E563" s="51"/>
      <c r="F563" s="51"/>
      <c r="G563" s="56"/>
      <c r="H563" s="261"/>
    </row>
    <row r="564" spans="1:8" s="46" customFormat="1" x14ac:dyDescent="0.25">
      <c r="A564" s="68">
        <v>1</v>
      </c>
      <c r="B564" s="44" t="s">
        <v>150</v>
      </c>
      <c r="C564" s="47"/>
      <c r="D564" s="76"/>
      <c r="E564" s="51"/>
      <c r="F564" s="51"/>
      <c r="G564" s="56"/>
      <c r="H564" s="261"/>
    </row>
    <row r="565" spans="1:8" ht="30" x14ac:dyDescent="0.25">
      <c r="A565" s="68">
        <v>1</v>
      </c>
      <c r="B565" s="24" t="s">
        <v>119</v>
      </c>
      <c r="C565" s="22"/>
      <c r="D565" s="3">
        <v>11976</v>
      </c>
      <c r="E565" s="3"/>
      <c r="F565" s="3"/>
      <c r="G565" s="3"/>
    </row>
    <row r="566" spans="1:8" s="46" customFormat="1" ht="15.75" customHeight="1" x14ac:dyDescent="0.25">
      <c r="A566" s="68">
        <v>1</v>
      </c>
      <c r="B566" s="24" t="s">
        <v>224</v>
      </c>
      <c r="C566" s="22"/>
      <c r="D566" s="3"/>
      <c r="E566" s="51"/>
      <c r="F566" s="51"/>
      <c r="G566" s="56"/>
      <c r="H566" s="261"/>
    </row>
    <row r="567" spans="1:8" s="46" customFormat="1" x14ac:dyDescent="0.25">
      <c r="A567" s="68">
        <v>1</v>
      </c>
      <c r="B567" s="53"/>
      <c r="C567" s="22"/>
      <c r="D567" s="3"/>
      <c r="E567" s="51"/>
      <c r="F567" s="51"/>
      <c r="G567" s="56"/>
      <c r="H567" s="261"/>
    </row>
    <row r="568" spans="1:8" s="46" customFormat="1" x14ac:dyDescent="0.25">
      <c r="A568" s="68">
        <v>1</v>
      </c>
      <c r="B568" s="54" t="s">
        <v>152</v>
      </c>
      <c r="C568" s="22"/>
      <c r="D568" s="18">
        <f>D545+ROUND(D563*3.2,0)+D565</f>
        <v>41102</v>
      </c>
      <c r="E568" s="51"/>
      <c r="F568" s="51"/>
      <c r="G568" s="56"/>
      <c r="H568" s="261"/>
    </row>
    <row r="569" spans="1:8" s="46" customFormat="1" x14ac:dyDescent="0.25">
      <c r="A569" s="68">
        <v>1</v>
      </c>
      <c r="B569" s="55" t="s">
        <v>151</v>
      </c>
      <c r="C569" s="22"/>
      <c r="D569" s="18">
        <f>SUM(D543,D568)</f>
        <v>190197.39031339029</v>
      </c>
      <c r="E569" s="51"/>
      <c r="F569" s="51"/>
      <c r="G569" s="56"/>
      <c r="H569" s="261"/>
    </row>
    <row r="570" spans="1:8" x14ac:dyDescent="0.25">
      <c r="A570" s="68">
        <v>1</v>
      </c>
      <c r="B570" s="34" t="s">
        <v>7</v>
      </c>
      <c r="C570" s="302"/>
      <c r="D570" s="302"/>
      <c r="E570" s="3"/>
      <c r="F570" s="3"/>
      <c r="G570" s="3"/>
    </row>
    <row r="571" spans="1:8" x14ac:dyDescent="0.25">
      <c r="A571" s="68">
        <v>1</v>
      </c>
      <c r="B571" s="43" t="s">
        <v>76</v>
      </c>
      <c r="C571" s="22"/>
      <c r="D571" s="302"/>
      <c r="E571" s="3"/>
      <c r="F571" s="3"/>
      <c r="G571" s="3"/>
    </row>
    <row r="572" spans="1:8" x14ac:dyDescent="0.25">
      <c r="A572" s="68">
        <v>1</v>
      </c>
      <c r="B572" s="30" t="s">
        <v>37</v>
      </c>
      <c r="C572" s="2">
        <v>240</v>
      </c>
      <c r="D572" s="3">
        <v>1230</v>
      </c>
      <c r="E572" s="60">
        <v>8</v>
      </c>
      <c r="F572" s="3">
        <f>ROUND(G572/C572,0)</f>
        <v>41</v>
      </c>
      <c r="G572" s="3">
        <f>ROUND(D572*E572,0)</f>
        <v>9840</v>
      </c>
    </row>
    <row r="573" spans="1:8" x14ac:dyDescent="0.25">
      <c r="A573" s="68"/>
      <c r="B573" s="30" t="s">
        <v>57</v>
      </c>
      <c r="C573" s="2">
        <v>240</v>
      </c>
      <c r="D573" s="3">
        <v>6</v>
      </c>
      <c r="E573" s="60">
        <v>8</v>
      </c>
      <c r="F573" s="3">
        <f>ROUND(G573/C573,0)</f>
        <v>0</v>
      </c>
      <c r="G573" s="3">
        <f>ROUND(D573*E573,0)</f>
        <v>48</v>
      </c>
    </row>
    <row r="574" spans="1:8" ht="18.75" customHeight="1" x14ac:dyDescent="0.25">
      <c r="A574" s="68">
        <v>1</v>
      </c>
      <c r="B574" s="219" t="s">
        <v>141</v>
      </c>
      <c r="C574" s="22"/>
      <c r="D574" s="35">
        <f>SUM(D572:D573)</f>
        <v>1236</v>
      </c>
      <c r="E574" s="85">
        <f>E572</f>
        <v>8</v>
      </c>
      <c r="F574" s="35">
        <f>SUM(F572:F573)</f>
        <v>41</v>
      </c>
      <c r="G574" s="35">
        <f>SUM(G572:G573)</f>
        <v>9888</v>
      </c>
    </row>
    <row r="575" spans="1:8" ht="18.75" customHeight="1" x14ac:dyDescent="0.25">
      <c r="A575" s="68">
        <v>1</v>
      </c>
      <c r="B575" s="298" t="s">
        <v>116</v>
      </c>
      <c r="C575" s="78"/>
      <c r="D575" s="18">
        <f t="shared" ref="D575" si="40">D574</f>
        <v>1236</v>
      </c>
      <c r="E575" s="303">
        <f t="shared" ref="E575:G575" si="41">E574</f>
        <v>8</v>
      </c>
      <c r="F575" s="18">
        <f t="shared" si="41"/>
        <v>41</v>
      </c>
      <c r="G575" s="18">
        <f t="shared" si="41"/>
        <v>9888</v>
      </c>
    </row>
    <row r="576" spans="1:8" x14ac:dyDescent="0.25">
      <c r="A576" s="68">
        <v>1</v>
      </c>
      <c r="B576" s="304" t="s">
        <v>10</v>
      </c>
      <c r="C576" s="81"/>
      <c r="D576" s="81"/>
      <c r="E576" s="81"/>
      <c r="F576" s="81"/>
      <c r="G576" s="81"/>
    </row>
    <row r="577" spans="1:8" hidden="1" x14ac:dyDescent="0.25">
      <c r="A577" s="68">
        <v>1</v>
      </c>
      <c r="B577" s="291"/>
      <c r="C577" s="257"/>
      <c r="D577" s="258"/>
      <c r="E577" s="258"/>
      <c r="F577" s="258"/>
      <c r="G577" s="258"/>
    </row>
    <row r="578" spans="1:8" hidden="1" x14ac:dyDescent="0.25">
      <c r="A578" s="68">
        <v>1</v>
      </c>
      <c r="B578" s="284" t="s">
        <v>131</v>
      </c>
      <c r="C578" s="63"/>
      <c r="D578" s="3"/>
      <c r="E578" s="3"/>
      <c r="F578" s="3"/>
      <c r="G578" s="274"/>
    </row>
    <row r="579" spans="1:8" s="46" customFormat="1" ht="18.75" hidden="1" customHeight="1" x14ac:dyDescent="0.25">
      <c r="A579" s="68">
        <v>1</v>
      </c>
      <c r="B579" s="21" t="s">
        <v>205</v>
      </c>
      <c r="C579" s="21"/>
      <c r="D579" s="74"/>
      <c r="E579" s="45"/>
      <c r="F579" s="45"/>
      <c r="G579" s="45"/>
      <c r="H579" s="261"/>
    </row>
    <row r="580" spans="1:8" s="46" customFormat="1" ht="30" hidden="1" x14ac:dyDescent="0.25">
      <c r="A580" s="68">
        <v>1</v>
      </c>
      <c r="B580" s="23" t="s">
        <v>322</v>
      </c>
      <c r="C580" s="47"/>
      <c r="D580" s="45">
        <f>SUM(D582,D583,D584,D585)+D581/2.7</f>
        <v>75796.370370370365</v>
      </c>
      <c r="E580" s="45"/>
      <c r="F580" s="45"/>
      <c r="G580" s="45"/>
      <c r="H580" s="261"/>
    </row>
    <row r="581" spans="1:8" s="46" customFormat="1" hidden="1" x14ac:dyDescent="0.25">
      <c r="A581" s="68">
        <v>1</v>
      </c>
      <c r="B581" s="23" t="s">
        <v>286</v>
      </c>
      <c r="C581" s="28"/>
      <c r="D581" s="3">
        <v>1297</v>
      </c>
      <c r="E581" s="28"/>
      <c r="F581" s="28"/>
      <c r="G581" s="28"/>
      <c r="H581" s="261"/>
    </row>
    <row r="582" spans="1:8" s="46" customFormat="1" hidden="1" x14ac:dyDescent="0.25">
      <c r="A582" s="68">
        <v>1</v>
      </c>
      <c r="B582" s="48" t="s">
        <v>206</v>
      </c>
      <c r="C582" s="47"/>
      <c r="D582" s="45"/>
      <c r="E582" s="45"/>
      <c r="F582" s="45"/>
      <c r="G582" s="45"/>
      <c r="H582" s="261"/>
    </row>
    <row r="583" spans="1:8" s="46" customFormat="1" ht="39" hidden="1" customHeight="1" x14ac:dyDescent="0.25">
      <c r="A583" s="68">
        <v>1</v>
      </c>
      <c r="B583" s="48" t="s">
        <v>207</v>
      </c>
      <c r="C583" s="47"/>
      <c r="D583" s="3">
        <v>10000</v>
      </c>
      <c r="E583" s="45"/>
      <c r="F583" s="45"/>
      <c r="G583" s="45"/>
      <c r="H583" s="261"/>
    </row>
    <row r="584" spans="1:8" s="46" customFormat="1" ht="30" hidden="1" x14ac:dyDescent="0.25">
      <c r="A584" s="68">
        <v>1</v>
      </c>
      <c r="B584" s="48" t="s">
        <v>208</v>
      </c>
      <c r="C584" s="47"/>
      <c r="D584" s="3"/>
      <c r="E584" s="45"/>
      <c r="F584" s="45"/>
      <c r="G584" s="45"/>
      <c r="H584" s="261"/>
    </row>
    <row r="585" spans="1:8" s="46" customFormat="1" hidden="1" x14ac:dyDescent="0.25">
      <c r="A585" s="68">
        <v>1</v>
      </c>
      <c r="B585" s="23" t="s">
        <v>209</v>
      </c>
      <c r="C585" s="47"/>
      <c r="D585" s="3">
        <v>65316</v>
      </c>
      <c r="E585" s="45"/>
      <c r="F585" s="45"/>
      <c r="G585" s="45"/>
      <c r="H585" s="261"/>
    </row>
    <row r="586" spans="1:8" s="46" customFormat="1" ht="45" hidden="1" x14ac:dyDescent="0.25">
      <c r="A586" s="68">
        <v>1</v>
      </c>
      <c r="B586" s="23" t="s">
        <v>285</v>
      </c>
      <c r="C586" s="47"/>
      <c r="D586" s="13">
        <v>1533</v>
      </c>
      <c r="E586" s="45"/>
      <c r="F586" s="45"/>
      <c r="G586" s="45"/>
      <c r="H586" s="261"/>
    </row>
    <row r="587" spans="1:8" hidden="1" x14ac:dyDescent="0.25">
      <c r="A587" s="68">
        <v>1</v>
      </c>
      <c r="B587" s="24" t="s">
        <v>118</v>
      </c>
      <c r="C587" s="22"/>
      <c r="D587" s="3">
        <f>D588+D589</f>
        <v>176199.76470588235</v>
      </c>
      <c r="E587" s="305"/>
      <c r="F587" s="3"/>
      <c r="G587" s="3"/>
    </row>
    <row r="588" spans="1:8" hidden="1" x14ac:dyDescent="0.25">
      <c r="A588" s="68">
        <v>1</v>
      </c>
      <c r="B588" s="24" t="s">
        <v>259</v>
      </c>
      <c r="C588" s="207"/>
      <c r="D588" s="3">
        <v>175720</v>
      </c>
      <c r="E588" s="305"/>
      <c r="F588" s="3"/>
      <c r="G588" s="3"/>
    </row>
    <row r="589" spans="1:8" hidden="1" x14ac:dyDescent="0.25">
      <c r="A589" s="68">
        <v>1</v>
      </c>
      <c r="B589" s="24" t="s">
        <v>261</v>
      </c>
      <c r="C589" s="207"/>
      <c r="D589" s="13">
        <f>D590/8.5</f>
        <v>479.76470588235293</v>
      </c>
      <c r="E589" s="305"/>
      <c r="F589" s="3"/>
      <c r="G589" s="3"/>
    </row>
    <row r="590" spans="1:8" s="46" customFormat="1" hidden="1" x14ac:dyDescent="0.25">
      <c r="A590" s="68">
        <v>1</v>
      </c>
      <c r="B590" s="44" t="s">
        <v>260</v>
      </c>
      <c r="C590" s="262"/>
      <c r="D590" s="3">
        <v>4078</v>
      </c>
      <c r="E590" s="45"/>
      <c r="F590" s="45"/>
      <c r="G590" s="45"/>
      <c r="H590" s="261"/>
    </row>
    <row r="591" spans="1:8" s="46" customFormat="1" ht="15.75" hidden="1" customHeight="1" x14ac:dyDescent="0.25">
      <c r="A591" s="68">
        <v>1</v>
      </c>
      <c r="B591" s="49" t="s">
        <v>210</v>
      </c>
      <c r="C591" s="50"/>
      <c r="D591" s="47">
        <f>D580+ROUND(D588*3.2,0)+D590/3.9</f>
        <v>639146.01139601134</v>
      </c>
      <c r="E591" s="51"/>
      <c r="F591" s="51"/>
      <c r="G591" s="56"/>
      <c r="H591" s="261"/>
    </row>
    <row r="592" spans="1:8" s="46" customFormat="1" ht="15.75" hidden="1" customHeight="1" x14ac:dyDescent="0.25">
      <c r="A592" s="68">
        <v>1</v>
      </c>
      <c r="B592" s="21" t="s">
        <v>153</v>
      </c>
      <c r="C592" s="22"/>
      <c r="D592" s="3"/>
      <c r="E592" s="51"/>
      <c r="F592" s="51"/>
      <c r="G592" s="56"/>
      <c r="H592" s="261"/>
    </row>
    <row r="593" spans="1:8" s="46" customFormat="1" ht="31.5" hidden="1" customHeight="1" x14ac:dyDescent="0.25">
      <c r="A593" s="68">
        <v>1</v>
      </c>
      <c r="B593" s="23" t="s">
        <v>322</v>
      </c>
      <c r="C593" s="22"/>
      <c r="D593" s="3">
        <f>SUM(D594,D595,D602,D608,D609,D610)</f>
        <v>51597</v>
      </c>
      <c r="E593" s="51"/>
      <c r="F593" s="51"/>
      <c r="G593" s="56"/>
      <c r="H593" s="261"/>
    </row>
    <row r="594" spans="1:8" s="46" customFormat="1" ht="15.75" hidden="1" customHeight="1" x14ac:dyDescent="0.25">
      <c r="A594" s="68">
        <v>1</v>
      </c>
      <c r="B594" s="23" t="s">
        <v>206</v>
      </c>
      <c r="C594" s="22"/>
      <c r="D594" s="3"/>
      <c r="E594" s="51"/>
      <c r="F594" s="51"/>
      <c r="G594" s="56"/>
      <c r="H594" s="261"/>
    </row>
    <row r="595" spans="1:8" s="46" customFormat="1" ht="15.75" hidden="1" customHeight="1" x14ac:dyDescent="0.25">
      <c r="A595" s="68">
        <v>1</v>
      </c>
      <c r="B595" s="48" t="s">
        <v>211</v>
      </c>
      <c r="C595" s="22"/>
      <c r="D595" s="3">
        <f>D596+D597+D598+D600</f>
        <v>32481</v>
      </c>
      <c r="E595" s="51"/>
      <c r="F595" s="51"/>
      <c r="G595" s="56"/>
      <c r="H595" s="261"/>
    </row>
    <row r="596" spans="1:8" s="46" customFormat="1" ht="19.5" hidden="1" customHeight="1" x14ac:dyDescent="0.25">
      <c r="A596" s="68">
        <v>1</v>
      </c>
      <c r="B596" s="52" t="s">
        <v>212</v>
      </c>
      <c r="C596" s="22"/>
      <c r="D596" s="45">
        <v>25000</v>
      </c>
      <c r="E596" s="51"/>
      <c r="F596" s="51"/>
      <c r="G596" s="56"/>
      <c r="H596" s="261"/>
    </row>
    <row r="597" spans="1:8" s="46" customFormat="1" ht="15.75" hidden="1" customHeight="1" x14ac:dyDescent="0.25">
      <c r="A597" s="68">
        <v>1</v>
      </c>
      <c r="B597" s="52" t="s">
        <v>213</v>
      </c>
      <c r="C597" s="22"/>
      <c r="D597" s="45">
        <v>7481</v>
      </c>
      <c r="E597" s="51"/>
      <c r="F597" s="51"/>
      <c r="G597" s="56"/>
      <c r="H597" s="261"/>
    </row>
    <row r="598" spans="1:8" s="46" customFormat="1" ht="30.75" hidden="1" customHeight="1" x14ac:dyDescent="0.25">
      <c r="A598" s="68">
        <v>1</v>
      </c>
      <c r="B598" s="52" t="s">
        <v>214</v>
      </c>
      <c r="C598" s="22"/>
      <c r="D598" s="45"/>
      <c r="E598" s="51"/>
      <c r="F598" s="51"/>
      <c r="G598" s="56"/>
      <c r="H598" s="261"/>
    </row>
    <row r="599" spans="1:8" s="46" customFormat="1" hidden="1" x14ac:dyDescent="0.25">
      <c r="A599" s="68">
        <v>1</v>
      </c>
      <c r="B599" s="52" t="s">
        <v>215</v>
      </c>
      <c r="C599" s="22"/>
      <c r="D599" s="45"/>
      <c r="E599" s="51"/>
      <c r="F599" s="51"/>
      <c r="G599" s="56"/>
      <c r="H599" s="261"/>
    </row>
    <row r="600" spans="1:8" s="46" customFormat="1" ht="30" hidden="1" x14ac:dyDescent="0.25">
      <c r="A600" s="68">
        <v>1</v>
      </c>
      <c r="B600" s="52" t="s">
        <v>216</v>
      </c>
      <c r="C600" s="22"/>
      <c r="D600" s="45"/>
      <c r="E600" s="51"/>
      <c r="F600" s="51"/>
      <c r="G600" s="56"/>
      <c r="H600" s="261"/>
    </row>
    <row r="601" spans="1:8" s="46" customFormat="1" hidden="1" x14ac:dyDescent="0.25">
      <c r="A601" s="68">
        <v>1</v>
      </c>
      <c r="B601" s="52" t="s">
        <v>215</v>
      </c>
      <c r="C601" s="22"/>
      <c r="D601" s="76"/>
      <c r="E601" s="51"/>
      <c r="F601" s="51"/>
      <c r="G601" s="56"/>
      <c r="H601" s="261"/>
    </row>
    <row r="602" spans="1:8" s="46" customFormat="1" ht="30" hidden="1" customHeight="1" x14ac:dyDescent="0.25">
      <c r="A602" s="68">
        <v>1</v>
      </c>
      <c r="B602" s="48" t="s">
        <v>217</v>
      </c>
      <c r="C602" s="22"/>
      <c r="D602" s="3">
        <f>SUM(D603,D604,D606)</f>
        <v>19116</v>
      </c>
      <c r="E602" s="51"/>
      <c r="F602" s="51"/>
      <c r="G602" s="56"/>
      <c r="H602" s="261"/>
    </row>
    <row r="603" spans="1:8" s="46" customFormat="1" ht="30" hidden="1" x14ac:dyDescent="0.25">
      <c r="A603" s="68">
        <v>1</v>
      </c>
      <c r="B603" s="52" t="s">
        <v>218</v>
      </c>
      <c r="C603" s="22"/>
      <c r="D603" s="3">
        <f>17116+2000</f>
        <v>19116</v>
      </c>
      <c r="E603" s="51"/>
      <c r="F603" s="51"/>
      <c r="G603" s="56"/>
      <c r="H603" s="261"/>
    </row>
    <row r="604" spans="1:8" s="46" customFormat="1" ht="45" hidden="1" x14ac:dyDescent="0.25">
      <c r="A604" s="68">
        <v>1</v>
      </c>
      <c r="B604" s="52" t="s">
        <v>219</v>
      </c>
      <c r="C604" s="22"/>
      <c r="D604" s="42"/>
      <c r="E604" s="51"/>
      <c r="F604" s="51"/>
      <c r="G604" s="56"/>
      <c r="H604" s="261"/>
    </row>
    <row r="605" spans="1:8" s="46" customFormat="1" hidden="1" x14ac:dyDescent="0.25">
      <c r="A605" s="68">
        <v>1</v>
      </c>
      <c r="B605" s="52" t="s">
        <v>215</v>
      </c>
      <c r="C605" s="22"/>
      <c r="D605" s="42"/>
      <c r="E605" s="51"/>
      <c r="F605" s="51"/>
      <c r="G605" s="56"/>
      <c r="H605" s="261"/>
    </row>
    <row r="606" spans="1:8" s="46" customFormat="1" ht="45" hidden="1" x14ac:dyDescent="0.25">
      <c r="A606" s="68">
        <v>1</v>
      </c>
      <c r="B606" s="52" t="s">
        <v>220</v>
      </c>
      <c r="C606" s="22"/>
      <c r="D606" s="42"/>
      <c r="E606" s="51"/>
      <c r="F606" s="51"/>
      <c r="G606" s="56"/>
      <c r="H606" s="261"/>
    </row>
    <row r="607" spans="1:8" s="46" customFormat="1" hidden="1" x14ac:dyDescent="0.25">
      <c r="A607" s="68">
        <v>1</v>
      </c>
      <c r="B607" s="52" t="s">
        <v>215</v>
      </c>
      <c r="C607" s="22"/>
      <c r="D607" s="42"/>
      <c r="E607" s="51"/>
      <c r="F607" s="51"/>
      <c r="G607" s="56"/>
      <c r="H607" s="261"/>
    </row>
    <row r="608" spans="1:8" s="46" customFormat="1" ht="31.5" hidden="1" customHeight="1" x14ac:dyDescent="0.25">
      <c r="A608" s="68">
        <v>1</v>
      </c>
      <c r="B608" s="48" t="s">
        <v>221</v>
      </c>
      <c r="C608" s="22"/>
      <c r="D608" s="3"/>
      <c r="E608" s="51"/>
      <c r="F608" s="51"/>
      <c r="G608" s="56"/>
      <c r="H608" s="261"/>
    </row>
    <row r="609" spans="1:8" s="46" customFormat="1" ht="15.75" hidden="1" customHeight="1" x14ac:dyDescent="0.25">
      <c r="A609" s="68">
        <v>1</v>
      </c>
      <c r="B609" s="48" t="s">
        <v>222</v>
      </c>
      <c r="C609" s="22"/>
      <c r="D609" s="3"/>
      <c r="E609" s="51"/>
      <c r="F609" s="51"/>
      <c r="G609" s="56"/>
      <c r="H609" s="261"/>
    </row>
    <row r="610" spans="1:8" s="46" customFormat="1" ht="15.75" hidden="1" customHeight="1" x14ac:dyDescent="0.25">
      <c r="A610" s="68">
        <v>1</v>
      </c>
      <c r="B610" s="23" t="s">
        <v>223</v>
      </c>
      <c r="C610" s="22"/>
      <c r="D610" s="3"/>
      <c r="E610" s="51"/>
      <c r="F610" s="51"/>
      <c r="G610" s="56"/>
      <c r="H610" s="261"/>
    </row>
    <row r="611" spans="1:8" s="46" customFormat="1" hidden="1" x14ac:dyDescent="0.25">
      <c r="A611" s="68">
        <v>1</v>
      </c>
      <c r="B611" s="24" t="s">
        <v>118</v>
      </c>
      <c r="C611" s="47"/>
      <c r="D611" s="45">
        <v>150</v>
      </c>
      <c r="E611" s="51"/>
      <c r="F611" s="51"/>
      <c r="G611" s="56"/>
      <c r="H611" s="261"/>
    </row>
    <row r="612" spans="1:8" s="46" customFormat="1" hidden="1" x14ac:dyDescent="0.25">
      <c r="A612" s="68">
        <v>1</v>
      </c>
      <c r="B612" s="44" t="s">
        <v>150</v>
      </c>
      <c r="C612" s="47"/>
      <c r="D612" s="76"/>
      <c r="E612" s="51"/>
      <c r="F612" s="51"/>
      <c r="G612" s="56"/>
      <c r="H612" s="261"/>
    </row>
    <row r="613" spans="1:8" ht="30" hidden="1" x14ac:dyDescent="0.25">
      <c r="A613" s="68">
        <v>1</v>
      </c>
      <c r="B613" s="24" t="s">
        <v>119</v>
      </c>
      <c r="C613" s="22"/>
      <c r="D613" s="3">
        <v>55800</v>
      </c>
      <c r="E613" s="305"/>
      <c r="F613" s="3"/>
      <c r="G613" s="3"/>
    </row>
    <row r="614" spans="1:8" s="46" customFormat="1" ht="15.75" hidden="1" customHeight="1" x14ac:dyDescent="0.25">
      <c r="A614" s="68">
        <v>1</v>
      </c>
      <c r="B614" s="24" t="s">
        <v>224</v>
      </c>
      <c r="C614" s="22"/>
      <c r="D614" s="3">
        <v>13500</v>
      </c>
      <c r="E614" s="51"/>
      <c r="F614" s="51"/>
      <c r="G614" s="56"/>
      <c r="H614" s="261"/>
    </row>
    <row r="615" spans="1:8" s="46" customFormat="1" hidden="1" x14ac:dyDescent="0.25">
      <c r="A615" s="68">
        <v>1</v>
      </c>
      <c r="B615" s="53"/>
      <c r="C615" s="22"/>
      <c r="D615" s="3"/>
      <c r="E615" s="51"/>
      <c r="F615" s="51"/>
      <c r="G615" s="56"/>
      <c r="H615" s="261"/>
    </row>
    <row r="616" spans="1:8" s="46" customFormat="1" hidden="1" x14ac:dyDescent="0.25">
      <c r="A616" s="68">
        <v>1</v>
      </c>
      <c r="B616" s="54" t="s">
        <v>152</v>
      </c>
      <c r="C616" s="22"/>
      <c r="D616" s="18">
        <f>D593+ROUND(D611*3.2,0)+D613</f>
        <v>107877</v>
      </c>
      <c r="E616" s="51"/>
      <c r="F616" s="51"/>
      <c r="G616" s="56"/>
      <c r="H616" s="261"/>
    </row>
    <row r="617" spans="1:8" s="46" customFormat="1" hidden="1" x14ac:dyDescent="0.25">
      <c r="A617" s="68">
        <v>1</v>
      </c>
      <c r="B617" s="55" t="s">
        <v>151</v>
      </c>
      <c r="C617" s="22"/>
      <c r="D617" s="18">
        <f>SUM(D591,D616)</f>
        <v>747023.01139601134</v>
      </c>
      <c r="E617" s="51"/>
      <c r="F617" s="51"/>
      <c r="G617" s="56"/>
      <c r="H617" s="261"/>
    </row>
    <row r="618" spans="1:8" s="46" customFormat="1" hidden="1" x14ac:dyDescent="0.25">
      <c r="A618" s="68">
        <v>1</v>
      </c>
      <c r="B618" s="25" t="s">
        <v>120</v>
      </c>
      <c r="C618" s="22"/>
      <c r="D618" s="202">
        <f>D619+D620</f>
        <v>2895</v>
      </c>
      <c r="E618" s="280"/>
      <c r="F618" s="280"/>
      <c r="G618" s="18"/>
      <c r="H618" s="261"/>
    </row>
    <row r="619" spans="1:8" s="46" customFormat="1" hidden="1" x14ac:dyDescent="0.25">
      <c r="A619" s="68">
        <v>1</v>
      </c>
      <c r="B619" s="297" t="s">
        <v>33</v>
      </c>
      <c r="C619" s="22"/>
      <c r="D619" s="3">
        <v>2675</v>
      </c>
      <c r="E619" s="280"/>
      <c r="F619" s="280"/>
      <c r="G619" s="18"/>
      <c r="H619" s="261"/>
    </row>
    <row r="620" spans="1:8" s="46" customFormat="1" hidden="1" x14ac:dyDescent="0.25">
      <c r="A620" s="68">
        <v>1</v>
      </c>
      <c r="B620" s="297" t="s">
        <v>275</v>
      </c>
      <c r="C620" s="22"/>
      <c r="D620" s="3">
        <v>220</v>
      </c>
      <c r="E620" s="280"/>
      <c r="F620" s="280"/>
      <c r="G620" s="18"/>
      <c r="H620" s="261"/>
    </row>
    <row r="621" spans="1:8" hidden="1" x14ac:dyDescent="0.25">
      <c r="A621" s="68">
        <v>1</v>
      </c>
      <c r="B621" s="34" t="s">
        <v>7</v>
      </c>
      <c r="C621" s="22"/>
      <c r="D621" s="3"/>
      <c r="E621" s="3"/>
      <c r="F621" s="3"/>
      <c r="G621" s="3"/>
    </row>
    <row r="622" spans="1:8" hidden="1" x14ac:dyDescent="0.25">
      <c r="A622" s="68">
        <v>1</v>
      </c>
      <c r="B622" s="43" t="s">
        <v>76</v>
      </c>
      <c r="C622" s="22"/>
      <c r="D622" s="3"/>
      <c r="E622" s="3"/>
      <c r="F622" s="3"/>
      <c r="G622" s="3"/>
    </row>
    <row r="623" spans="1:8" hidden="1" x14ac:dyDescent="0.25">
      <c r="A623" s="68">
        <v>1</v>
      </c>
      <c r="B623" s="306" t="s">
        <v>24</v>
      </c>
      <c r="C623" s="38">
        <v>240</v>
      </c>
      <c r="D623" s="3">
        <v>914</v>
      </c>
      <c r="E623" s="60">
        <v>8</v>
      </c>
      <c r="F623" s="3">
        <f>ROUND(G623/C623,0)</f>
        <v>30</v>
      </c>
      <c r="G623" s="3">
        <f>ROUND(D623*E623,0)</f>
        <v>7312</v>
      </c>
    </row>
    <row r="624" spans="1:8" hidden="1" x14ac:dyDescent="0.25">
      <c r="A624" s="68">
        <v>1</v>
      </c>
      <c r="B624" s="30" t="s">
        <v>37</v>
      </c>
      <c r="C624" s="2">
        <v>240</v>
      </c>
      <c r="D624" s="3">
        <v>1678</v>
      </c>
      <c r="E624" s="60">
        <v>8</v>
      </c>
      <c r="F624" s="3">
        <f>ROUND(G624/C624,0)</f>
        <v>56</v>
      </c>
      <c r="G624" s="3">
        <f>ROUND(D624*E624,0)</f>
        <v>13424</v>
      </c>
    </row>
    <row r="625" spans="1:8" hidden="1" x14ac:dyDescent="0.25">
      <c r="A625" s="68">
        <v>1</v>
      </c>
      <c r="B625" s="30" t="s">
        <v>57</v>
      </c>
      <c r="C625" s="2">
        <v>240</v>
      </c>
      <c r="D625" s="3">
        <v>840</v>
      </c>
      <c r="E625" s="60">
        <v>8</v>
      </c>
      <c r="F625" s="3">
        <f>ROUND(G625/C625,0)</f>
        <v>28</v>
      </c>
      <c r="G625" s="3">
        <f>ROUND(D625*E625,0)</f>
        <v>6720</v>
      </c>
    </row>
    <row r="626" spans="1:8" ht="18.75" hidden="1" customHeight="1" x14ac:dyDescent="0.25">
      <c r="A626" s="68">
        <v>1</v>
      </c>
      <c r="B626" s="219" t="s">
        <v>141</v>
      </c>
      <c r="C626" s="22"/>
      <c r="D626" s="35">
        <f>SUM(D623:D625)</f>
        <v>3432</v>
      </c>
      <c r="E626" s="85">
        <f>E624</f>
        <v>8</v>
      </c>
      <c r="F626" s="35">
        <f t="shared" ref="F626:G626" si="42">SUM(F623:F625)</f>
        <v>114</v>
      </c>
      <c r="G626" s="35">
        <f t="shared" si="42"/>
        <v>27456</v>
      </c>
    </row>
    <row r="627" spans="1:8" ht="18.75" hidden="1" customHeight="1" x14ac:dyDescent="0.25">
      <c r="A627" s="68">
        <v>1</v>
      </c>
      <c r="B627" s="298" t="s">
        <v>116</v>
      </c>
      <c r="C627" s="78"/>
      <c r="D627" s="294">
        <f t="shared" ref="D627" si="43">D626</f>
        <v>3432</v>
      </c>
      <c r="E627" s="303">
        <f t="shared" ref="E627:G627" si="44">E626</f>
        <v>8</v>
      </c>
      <c r="F627" s="294">
        <f t="shared" si="44"/>
        <v>114</v>
      </c>
      <c r="G627" s="294">
        <f t="shared" si="44"/>
        <v>27456</v>
      </c>
    </row>
    <row r="628" spans="1:8" ht="15.75" hidden="1" thickBot="1" x14ac:dyDescent="0.3">
      <c r="A628" s="68">
        <v>1</v>
      </c>
      <c r="B628" s="270" t="s">
        <v>10</v>
      </c>
      <c r="C628" s="254"/>
      <c r="D628" s="254"/>
      <c r="E628" s="254"/>
      <c r="F628" s="254"/>
      <c r="G628" s="254"/>
    </row>
    <row r="629" spans="1:8" ht="20.25" hidden="1" customHeight="1" x14ac:dyDescent="0.25">
      <c r="A629" s="68">
        <v>1</v>
      </c>
      <c r="B629" s="671" t="s">
        <v>132</v>
      </c>
      <c r="C629" s="266"/>
      <c r="D629" s="3"/>
      <c r="E629" s="3"/>
      <c r="F629" s="3"/>
      <c r="G629" s="3"/>
    </row>
    <row r="630" spans="1:8" s="46" customFormat="1" ht="18.75" hidden="1" customHeight="1" x14ac:dyDescent="0.25">
      <c r="A630" s="68">
        <v>1</v>
      </c>
      <c r="B630" s="21" t="s">
        <v>205</v>
      </c>
      <c r="C630" s="21"/>
      <c r="D630" s="74"/>
      <c r="E630" s="45"/>
      <c r="F630" s="45"/>
      <c r="G630" s="45"/>
      <c r="H630" s="261"/>
    </row>
    <row r="631" spans="1:8" s="46" customFormat="1" ht="30" hidden="1" x14ac:dyDescent="0.25">
      <c r="A631" s="68">
        <v>1</v>
      </c>
      <c r="B631" s="23" t="s">
        <v>322</v>
      </c>
      <c r="C631" s="47"/>
      <c r="D631" s="45">
        <f>SUM(D633,D634,D635,D636)+D632/2.7</f>
        <v>23853.666666666668</v>
      </c>
      <c r="E631" s="45"/>
      <c r="F631" s="45"/>
      <c r="G631" s="45"/>
      <c r="H631" s="261"/>
    </row>
    <row r="632" spans="1:8" s="46" customFormat="1" hidden="1" x14ac:dyDescent="0.25">
      <c r="A632" s="68">
        <v>1</v>
      </c>
      <c r="B632" s="23" t="s">
        <v>286</v>
      </c>
      <c r="C632" s="28"/>
      <c r="D632" s="3">
        <v>45</v>
      </c>
      <c r="E632" s="28"/>
      <c r="F632" s="28"/>
      <c r="G632" s="28"/>
      <c r="H632" s="261"/>
    </row>
    <row r="633" spans="1:8" s="46" customFormat="1" hidden="1" x14ac:dyDescent="0.25">
      <c r="A633" s="68">
        <v>1</v>
      </c>
      <c r="B633" s="48" t="s">
        <v>206</v>
      </c>
      <c r="C633" s="47"/>
      <c r="D633" s="45"/>
      <c r="E633" s="45"/>
      <c r="F633" s="45"/>
      <c r="G633" s="45"/>
      <c r="H633" s="261"/>
    </row>
    <row r="634" spans="1:8" s="46" customFormat="1" ht="31.5" hidden="1" customHeight="1" x14ac:dyDescent="0.25">
      <c r="A634" s="68">
        <v>1</v>
      </c>
      <c r="B634" s="48" t="s">
        <v>207</v>
      </c>
      <c r="C634" s="47"/>
      <c r="D634" s="3"/>
      <c r="E634" s="45"/>
      <c r="F634" s="45"/>
      <c r="G634" s="45"/>
      <c r="H634" s="261"/>
    </row>
    <row r="635" spans="1:8" s="46" customFormat="1" ht="30" hidden="1" x14ac:dyDescent="0.25">
      <c r="A635" s="68">
        <v>1</v>
      </c>
      <c r="B635" s="48" t="s">
        <v>208</v>
      </c>
      <c r="C635" s="47"/>
      <c r="D635" s="3">
        <v>280</v>
      </c>
      <c r="E635" s="45"/>
      <c r="F635" s="45"/>
      <c r="G635" s="45"/>
      <c r="H635" s="261"/>
    </row>
    <row r="636" spans="1:8" s="46" customFormat="1" hidden="1" x14ac:dyDescent="0.25">
      <c r="A636" s="68">
        <v>1</v>
      </c>
      <c r="B636" s="23" t="s">
        <v>209</v>
      </c>
      <c r="C636" s="47"/>
      <c r="D636" s="3">
        <v>23557</v>
      </c>
      <c r="E636" s="45"/>
      <c r="F636" s="45"/>
      <c r="G636" s="45"/>
      <c r="H636" s="261"/>
    </row>
    <row r="637" spans="1:8" s="46" customFormat="1" ht="45" hidden="1" x14ac:dyDescent="0.25">
      <c r="A637" s="68">
        <v>1</v>
      </c>
      <c r="B637" s="23" t="s">
        <v>285</v>
      </c>
      <c r="C637" s="47"/>
      <c r="D637" s="13">
        <v>504</v>
      </c>
      <c r="E637" s="45"/>
      <c r="F637" s="45"/>
      <c r="G637" s="45"/>
      <c r="H637" s="261"/>
    </row>
    <row r="638" spans="1:8" hidden="1" x14ac:dyDescent="0.25">
      <c r="A638" s="68">
        <v>1</v>
      </c>
      <c r="B638" s="24" t="s">
        <v>118</v>
      </c>
      <c r="C638" s="22"/>
      <c r="D638" s="3">
        <f>D639+D640</f>
        <v>48540.588235294119</v>
      </c>
      <c r="E638" s="259"/>
      <c r="F638" s="259"/>
      <c r="G638" s="3"/>
    </row>
    <row r="639" spans="1:8" hidden="1" x14ac:dyDescent="0.25">
      <c r="A639" s="68">
        <v>1</v>
      </c>
      <c r="B639" s="24" t="s">
        <v>259</v>
      </c>
      <c r="C639" s="207"/>
      <c r="D639" s="3">
        <v>41748</v>
      </c>
      <c r="E639" s="259"/>
      <c r="F639" s="259"/>
      <c r="G639" s="3"/>
    </row>
    <row r="640" spans="1:8" hidden="1" x14ac:dyDescent="0.25">
      <c r="A640" s="68">
        <v>1</v>
      </c>
      <c r="B640" s="24" t="s">
        <v>261</v>
      </c>
      <c r="C640" s="207"/>
      <c r="D640" s="13">
        <f>D641/8.5</f>
        <v>6792.588235294118</v>
      </c>
      <c r="E640" s="259"/>
      <c r="F640" s="259"/>
      <c r="G640" s="3"/>
    </row>
    <row r="641" spans="1:8" s="46" customFormat="1" hidden="1" x14ac:dyDescent="0.25">
      <c r="A641" s="68">
        <v>1</v>
      </c>
      <c r="B641" s="44" t="s">
        <v>260</v>
      </c>
      <c r="C641" s="262"/>
      <c r="D641" s="3">
        <v>57737</v>
      </c>
      <c r="E641" s="45"/>
      <c r="F641" s="45"/>
      <c r="G641" s="45"/>
      <c r="H641" s="261"/>
    </row>
    <row r="642" spans="1:8" s="46" customFormat="1" ht="15.75" hidden="1" customHeight="1" x14ac:dyDescent="0.25">
      <c r="A642" s="68">
        <v>1</v>
      </c>
      <c r="B642" s="49" t="s">
        <v>210</v>
      </c>
      <c r="C642" s="50"/>
      <c r="D642" s="47">
        <f>D631+ROUND(D639*3.2,0)+D641/3.9</f>
        <v>172252.02564102563</v>
      </c>
      <c r="E642" s="51"/>
      <c r="F642" s="51"/>
      <c r="G642" s="56"/>
      <c r="H642" s="261"/>
    </row>
    <row r="643" spans="1:8" s="46" customFormat="1" ht="15.75" hidden="1" customHeight="1" x14ac:dyDescent="0.25">
      <c r="A643" s="68">
        <v>1</v>
      </c>
      <c r="B643" s="21" t="s">
        <v>153</v>
      </c>
      <c r="C643" s="22"/>
      <c r="D643" s="3"/>
      <c r="E643" s="51"/>
      <c r="F643" s="51"/>
      <c r="G643" s="56"/>
      <c r="H643" s="261"/>
    </row>
    <row r="644" spans="1:8" s="46" customFormat="1" ht="31.5" hidden="1" customHeight="1" x14ac:dyDescent="0.25">
      <c r="A644" s="68">
        <v>1</v>
      </c>
      <c r="B644" s="23" t="s">
        <v>322</v>
      </c>
      <c r="C644" s="22"/>
      <c r="D644" s="3">
        <f>SUM(D645,D646,D653,D659,D660,D661)</f>
        <v>34472</v>
      </c>
      <c r="E644" s="51"/>
      <c r="F644" s="51"/>
      <c r="G644" s="56"/>
      <c r="H644" s="261"/>
    </row>
    <row r="645" spans="1:8" s="46" customFormat="1" ht="15.75" hidden="1" customHeight="1" x14ac:dyDescent="0.25">
      <c r="A645" s="68">
        <v>1</v>
      </c>
      <c r="B645" s="23" t="s">
        <v>206</v>
      </c>
      <c r="C645" s="22"/>
      <c r="D645" s="3"/>
      <c r="E645" s="51"/>
      <c r="F645" s="51"/>
      <c r="G645" s="56"/>
      <c r="H645" s="261"/>
    </row>
    <row r="646" spans="1:8" s="46" customFormat="1" ht="15.75" hidden="1" customHeight="1" x14ac:dyDescent="0.25">
      <c r="A646" s="68">
        <v>1</v>
      </c>
      <c r="B646" s="48" t="s">
        <v>211</v>
      </c>
      <c r="C646" s="22"/>
      <c r="D646" s="3">
        <f>D647+D648+D649+D651</f>
        <v>7567</v>
      </c>
      <c r="E646" s="51"/>
      <c r="F646" s="51"/>
      <c r="G646" s="56"/>
      <c r="H646" s="261"/>
    </row>
    <row r="647" spans="1:8" s="46" customFormat="1" ht="19.5" hidden="1" customHeight="1" x14ac:dyDescent="0.25">
      <c r="A647" s="68">
        <v>1</v>
      </c>
      <c r="B647" s="52" t="s">
        <v>212</v>
      </c>
      <c r="C647" s="22"/>
      <c r="D647" s="45">
        <f>6721-1221</f>
        <v>5500</v>
      </c>
      <c r="E647" s="51"/>
      <c r="F647" s="51"/>
      <c r="G647" s="56"/>
      <c r="H647" s="261"/>
    </row>
    <row r="648" spans="1:8" s="46" customFormat="1" ht="15.75" hidden="1" customHeight="1" x14ac:dyDescent="0.25">
      <c r="A648" s="68">
        <v>1</v>
      </c>
      <c r="B648" s="52" t="s">
        <v>213</v>
      </c>
      <c r="C648" s="22"/>
      <c r="D648" s="45">
        <v>1655</v>
      </c>
      <c r="E648" s="51"/>
      <c r="F648" s="51"/>
      <c r="G648" s="56"/>
      <c r="H648" s="261"/>
    </row>
    <row r="649" spans="1:8" s="46" customFormat="1" ht="30.75" hidden="1" customHeight="1" x14ac:dyDescent="0.25">
      <c r="A649" s="68">
        <v>1</v>
      </c>
      <c r="B649" s="52" t="s">
        <v>214</v>
      </c>
      <c r="C649" s="22"/>
      <c r="D649" s="45"/>
      <c r="E649" s="51"/>
      <c r="F649" s="51"/>
      <c r="G649" s="56"/>
      <c r="H649" s="261"/>
    </row>
    <row r="650" spans="1:8" s="46" customFormat="1" hidden="1" x14ac:dyDescent="0.25">
      <c r="A650" s="68">
        <v>1</v>
      </c>
      <c r="B650" s="52" t="s">
        <v>215</v>
      </c>
      <c r="C650" s="22"/>
      <c r="D650" s="45"/>
      <c r="E650" s="51"/>
      <c r="F650" s="51"/>
      <c r="G650" s="56"/>
      <c r="H650" s="261"/>
    </row>
    <row r="651" spans="1:8" s="46" customFormat="1" ht="30" hidden="1" x14ac:dyDescent="0.25">
      <c r="A651" s="68">
        <v>1</v>
      </c>
      <c r="B651" s="52" t="s">
        <v>216</v>
      </c>
      <c r="C651" s="22"/>
      <c r="D651" s="45">
        <v>412</v>
      </c>
      <c r="E651" s="51"/>
      <c r="F651" s="51"/>
      <c r="G651" s="56"/>
      <c r="H651" s="261"/>
    </row>
    <row r="652" spans="1:8" s="46" customFormat="1" hidden="1" x14ac:dyDescent="0.25">
      <c r="A652" s="68">
        <v>1</v>
      </c>
      <c r="B652" s="52" t="s">
        <v>215</v>
      </c>
      <c r="C652" s="22"/>
      <c r="D652" s="76">
        <v>48</v>
      </c>
      <c r="E652" s="51"/>
      <c r="F652" s="51"/>
      <c r="G652" s="56"/>
      <c r="H652" s="261"/>
    </row>
    <row r="653" spans="1:8" s="46" customFormat="1" ht="30" hidden="1" customHeight="1" x14ac:dyDescent="0.25">
      <c r="A653" s="68">
        <v>1</v>
      </c>
      <c r="B653" s="48" t="s">
        <v>217</v>
      </c>
      <c r="C653" s="22"/>
      <c r="D653" s="3">
        <f>SUM(D654,D655,D657)</f>
        <v>26905</v>
      </c>
      <c r="E653" s="51"/>
      <c r="F653" s="51"/>
      <c r="G653" s="56"/>
      <c r="H653" s="261"/>
    </row>
    <row r="654" spans="1:8" s="46" customFormat="1" ht="30" hidden="1" x14ac:dyDescent="0.25">
      <c r="A654" s="68">
        <v>1</v>
      </c>
      <c r="B654" s="52" t="s">
        <v>218</v>
      </c>
      <c r="C654" s="22"/>
      <c r="D654" s="3">
        <f>3455+2500</f>
        <v>5955</v>
      </c>
      <c r="E654" s="51"/>
      <c r="F654" s="51"/>
      <c r="G654" s="56"/>
      <c r="H654" s="261"/>
    </row>
    <row r="655" spans="1:8" s="46" customFormat="1" ht="45" hidden="1" x14ac:dyDescent="0.25">
      <c r="A655" s="68">
        <v>1</v>
      </c>
      <c r="B655" s="52" t="s">
        <v>219</v>
      </c>
      <c r="C655" s="22"/>
      <c r="D655" s="42">
        <v>17720</v>
      </c>
      <c r="E655" s="51"/>
      <c r="F655" s="51"/>
      <c r="G655" s="56"/>
      <c r="H655" s="261"/>
    </row>
    <row r="656" spans="1:8" s="46" customFormat="1" hidden="1" x14ac:dyDescent="0.25">
      <c r="A656" s="68">
        <v>1</v>
      </c>
      <c r="B656" s="52" t="s">
        <v>215</v>
      </c>
      <c r="C656" s="22"/>
      <c r="D656" s="42">
        <v>3962</v>
      </c>
      <c r="E656" s="51"/>
      <c r="F656" s="51"/>
      <c r="G656" s="56"/>
      <c r="H656" s="261"/>
    </row>
    <row r="657" spans="1:8" s="46" customFormat="1" ht="45" hidden="1" x14ac:dyDescent="0.25">
      <c r="A657" s="68">
        <v>1</v>
      </c>
      <c r="B657" s="52" t="s">
        <v>220</v>
      </c>
      <c r="C657" s="22"/>
      <c r="D657" s="42">
        <v>3230</v>
      </c>
      <c r="E657" s="51"/>
      <c r="F657" s="51"/>
      <c r="G657" s="56"/>
      <c r="H657" s="261"/>
    </row>
    <row r="658" spans="1:8" s="46" customFormat="1" hidden="1" x14ac:dyDescent="0.25">
      <c r="A658" s="68">
        <v>1</v>
      </c>
      <c r="B658" s="52" t="s">
        <v>215</v>
      </c>
      <c r="C658" s="22"/>
      <c r="D658" s="42">
        <v>2153</v>
      </c>
      <c r="E658" s="51"/>
      <c r="F658" s="51"/>
      <c r="G658" s="56"/>
      <c r="H658" s="261"/>
    </row>
    <row r="659" spans="1:8" s="46" customFormat="1" ht="31.5" hidden="1" customHeight="1" x14ac:dyDescent="0.25">
      <c r="A659" s="68">
        <v>1</v>
      </c>
      <c r="B659" s="48" t="s">
        <v>221</v>
      </c>
      <c r="C659" s="22"/>
      <c r="D659" s="3"/>
      <c r="E659" s="51"/>
      <c r="F659" s="51"/>
      <c r="G659" s="56"/>
      <c r="H659" s="261"/>
    </row>
    <row r="660" spans="1:8" s="46" customFormat="1" ht="15.75" hidden="1" customHeight="1" x14ac:dyDescent="0.25">
      <c r="A660" s="68">
        <v>1</v>
      </c>
      <c r="B660" s="48" t="s">
        <v>222</v>
      </c>
      <c r="C660" s="22"/>
      <c r="D660" s="3"/>
      <c r="E660" s="51"/>
      <c r="F660" s="51"/>
      <c r="G660" s="56"/>
      <c r="H660" s="261"/>
    </row>
    <row r="661" spans="1:8" s="46" customFormat="1" ht="15.75" hidden="1" customHeight="1" x14ac:dyDescent="0.25">
      <c r="A661" s="68">
        <v>1</v>
      </c>
      <c r="B661" s="23" t="s">
        <v>223</v>
      </c>
      <c r="C661" s="22"/>
      <c r="D661" s="3"/>
      <c r="E661" s="51"/>
      <c r="F661" s="51"/>
      <c r="G661" s="56"/>
      <c r="H661" s="261"/>
    </row>
    <row r="662" spans="1:8" s="46" customFormat="1" hidden="1" x14ac:dyDescent="0.25">
      <c r="A662" s="68">
        <v>1</v>
      </c>
      <c r="B662" s="24" t="s">
        <v>118</v>
      </c>
      <c r="C662" s="47"/>
      <c r="D662" s="45"/>
      <c r="E662" s="51"/>
      <c r="F662" s="51"/>
      <c r="G662" s="56"/>
      <c r="H662" s="261"/>
    </row>
    <row r="663" spans="1:8" s="46" customFormat="1" hidden="1" x14ac:dyDescent="0.25">
      <c r="A663" s="68">
        <v>1</v>
      </c>
      <c r="B663" s="44" t="s">
        <v>150</v>
      </c>
      <c r="C663" s="47"/>
      <c r="D663" s="76"/>
      <c r="E663" s="51"/>
      <c r="F663" s="51"/>
      <c r="G663" s="56"/>
      <c r="H663" s="261"/>
    </row>
    <row r="664" spans="1:8" ht="30" hidden="1" x14ac:dyDescent="0.25">
      <c r="A664" s="68">
        <v>1</v>
      </c>
      <c r="B664" s="24" t="s">
        <v>119</v>
      </c>
      <c r="C664" s="22"/>
      <c r="D664" s="3">
        <v>12195</v>
      </c>
      <c r="E664" s="259"/>
      <c r="F664" s="259"/>
      <c r="G664" s="3"/>
    </row>
    <row r="665" spans="1:8" s="46" customFormat="1" ht="15.75" hidden="1" customHeight="1" x14ac:dyDescent="0.25">
      <c r="A665" s="68">
        <v>1</v>
      </c>
      <c r="B665" s="24" t="s">
        <v>224</v>
      </c>
      <c r="C665" s="22"/>
      <c r="D665" s="3"/>
      <c r="E665" s="51"/>
      <c r="F665" s="51"/>
      <c r="G665" s="56"/>
      <c r="H665" s="261"/>
    </row>
    <row r="666" spans="1:8" s="46" customFormat="1" hidden="1" x14ac:dyDescent="0.25">
      <c r="A666" s="68">
        <v>1</v>
      </c>
      <c r="B666" s="53"/>
      <c r="C666" s="22"/>
      <c r="D666" s="3"/>
      <c r="E666" s="51"/>
      <c r="F666" s="51"/>
      <c r="G666" s="56"/>
      <c r="H666" s="261"/>
    </row>
    <row r="667" spans="1:8" s="46" customFormat="1" hidden="1" x14ac:dyDescent="0.25">
      <c r="A667" s="68">
        <v>1</v>
      </c>
      <c r="B667" s="54" t="s">
        <v>152</v>
      </c>
      <c r="C667" s="22"/>
      <c r="D667" s="18">
        <f>D644+ROUND(D662*3.2,0)+D664</f>
        <v>46667</v>
      </c>
      <c r="E667" s="51"/>
      <c r="F667" s="51"/>
      <c r="G667" s="56"/>
      <c r="H667" s="261"/>
    </row>
    <row r="668" spans="1:8" s="46" customFormat="1" hidden="1" x14ac:dyDescent="0.25">
      <c r="A668" s="68">
        <v>1</v>
      </c>
      <c r="B668" s="55" t="s">
        <v>151</v>
      </c>
      <c r="C668" s="22"/>
      <c r="D668" s="18">
        <f>SUM(D642,D667)</f>
        <v>218919.02564102563</v>
      </c>
      <c r="E668" s="51"/>
      <c r="F668" s="51"/>
      <c r="G668" s="56"/>
      <c r="H668" s="261"/>
    </row>
    <row r="669" spans="1:8" hidden="1" x14ac:dyDescent="0.25">
      <c r="A669" s="68">
        <v>1</v>
      </c>
      <c r="B669" s="34" t="s">
        <v>7</v>
      </c>
      <c r="C669" s="63"/>
      <c r="D669" s="3"/>
      <c r="E669" s="3"/>
      <c r="F669" s="3"/>
      <c r="G669" s="3"/>
    </row>
    <row r="670" spans="1:8" hidden="1" x14ac:dyDescent="0.25">
      <c r="A670" s="68">
        <v>1</v>
      </c>
      <c r="B670" s="43" t="s">
        <v>76</v>
      </c>
      <c r="C670" s="63"/>
      <c r="D670" s="3"/>
      <c r="E670" s="3"/>
      <c r="F670" s="3"/>
      <c r="G670" s="3"/>
    </row>
    <row r="671" spans="1:8" hidden="1" x14ac:dyDescent="0.25">
      <c r="A671" s="68">
        <v>1</v>
      </c>
      <c r="B671" s="30" t="s">
        <v>37</v>
      </c>
      <c r="C671" s="2">
        <v>240</v>
      </c>
      <c r="D671" s="3">
        <v>870</v>
      </c>
      <c r="E671" s="60">
        <v>8</v>
      </c>
      <c r="F671" s="3">
        <f>ROUND(G671/C671,0)</f>
        <v>29</v>
      </c>
      <c r="G671" s="3">
        <f>ROUND(D671*E671,0)</f>
        <v>6960</v>
      </c>
    </row>
    <row r="672" spans="1:8" ht="18" hidden="1" customHeight="1" x14ac:dyDescent="0.25">
      <c r="A672" s="68">
        <v>1</v>
      </c>
      <c r="B672" s="219" t="s">
        <v>141</v>
      </c>
      <c r="C672" s="63"/>
      <c r="D672" s="35">
        <f>D671</f>
        <v>870</v>
      </c>
      <c r="E672" s="85">
        <f>E671</f>
        <v>8</v>
      </c>
      <c r="F672" s="35">
        <f>F671</f>
        <v>29</v>
      </c>
      <c r="G672" s="35">
        <f>G671</f>
        <v>6960</v>
      </c>
    </row>
    <row r="673" spans="1:8" ht="18" hidden="1" customHeight="1" x14ac:dyDescent="0.25">
      <c r="A673" s="68">
        <v>1</v>
      </c>
      <c r="B673" s="298" t="s">
        <v>116</v>
      </c>
      <c r="C673" s="87"/>
      <c r="D673" s="294">
        <f t="shared" ref="D673" si="45">D672</f>
        <v>870</v>
      </c>
      <c r="E673" s="303">
        <f t="shared" ref="E673:G673" si="46">E672</f>
        <v>8</v>
      </c>
      <c r="F673" s="294">
        <f t="shared" si="46"/>
        <v>29</v>
      </c>
      <c r="G673" s="294">
        <f t="shared" si="46"/>
        <v>6960</v>
      </c>
    </row>
    <row r="674" spans="1:8" ht="15.75" hidden="1" thickBot="1" x14ac:dyDescent="0.3">
      <c r="A674" s="68">
        <v>1</v>
      </c>
      <c r="B674" s="270" t="s">
        <v>10</v>
      </c>
      <c r="C674" s="254"/>
      <c r="D674" s="254"/>
      <c r="E674" s="254"/>
      <c r="F674" s="254"/>
      <c r="G674" s="254"/>
    </row>
    <row r="675" spans="1:8" hidden="1" x14ac:dyDescent="0.25">
      <c r="A675" s="68">
        <v>1</v>
      </c>
      <c r="B675" s="78"/>
      <c r="C675" s="87"/>
      <c r="D675" s="3"/>
      <c r="E675" s="3"/>
      <c r="F675" s="3"/>
      <c r="G675" s="3"/>
    </row>
    <row r="676" spans="1:8" ht="15.75" hidden="1" customHeight="1" x14ac:dyDescent="0.25">
      <c r="A676" s="68">
        <v>1</v>
      </c>
      <c r="B676" s="242" t="s">
        <v>133</v>
      </c>
      <c r="C676" s="63"/>
      <c r="D676" s="3"/>
      <c r="E676" s="3"/>
      <c r="F676" s="3"/>
      <c r="G676" s="3"/>
    </row>
    <row r="677" spans="1:8" s="46" customFormat="1" ht="18.75" hidden="1" customHeight="1" x14ac:dyDescent="0.25">
      <c r="A677" s="68">
        <v>1</v>
      </c>
      <c r="B677" s="21" t="s">
        <v>205</v>
      </c>
      <c r="C677" s="21"/>
      <c r="D677" s="74"/>
      <c r="E677" s="45"/>
      <c r="F677" s="45"/>
      <c r="G677" s="45"/>
      <c r="H677" s="261"/>
    </row>
    <row r="678" spans="1:8" s="46" customFormat="1" ht="27" hidden="1" customHeight="1" x14ac:dyDescent="0.25">
      <c r="A678" s="68">
        <v>1</v>
      </c>
      <c r="B678" s="23" t="s">
        <v>322</v>
      </c>
      <c r="C678" s="47"/>
      <c r="D678" s="45">
        <f>SUM(D679,D680,D681,D682)</f>
        <v>36500</v>
      </c>
      <c r="E678" s="45"/>
      <c r="F678" s="45"/>
      <c r="G678" s="45"/>
      <c r="H678" s="261"/>
    </row>
    <row r="679" spans="1:8" s="46" customFormat="1" hidden="1" x14ac:dyDescent="0.25">
      <c r="A679" s="68">
        <v>1</v>
      </c>
      <c r="B679" s="48" t="s">
        <v>206</v>
      </c>
      <c r="C679" s="47"/>
      <c r="D679" s="45"/>
      <c r="E679" s="45"/>
      <c r="F679" s="45"/>
      <c r="G679" s="45"/>
      <c r="H679" s="261"/>
    </row>
    <row r="680" spans="1:8" s="46" customFormat="1" ht="34.5" hidden="1" customHeight="1" x14ac:dyDescent="0.25">
      <c r="A680" s="68">
        <v>1</v>
      </c>
      <c r="B680" s="48" t="s">
        <v>207</v>
      </c>
      <c r="C680" s="47"/>
      <c r="D680" s="3">
        <v>5800</v>
      </c>
      <c r="E680" s="45"/>
      <c r="F680" s="45"/>
      <c r="G680" s="45"/>
      <c r="H680" s="261"/>
    </row>
    <row r="681" spans="1:8" s="46" customFormat="1" ht="30" hidden="1" x14ac:dyDescent="0.25">
      <c r="A681" s="68">
        <v>1</v>
      </c>
      <c r="B681" s="48" t="s">
        <v>208</v>
      </c>
      <c r="C681" s="47"/>
      <c r="D681" s="3"/>
      <c r="E681" s="45"/>
      <c r="F681" s="45"/>
      <c r="G681" s="45"/>
      <c r="H681" s="261"/>
    </row>
    <row r="682" spans="1:8" s="46" customFormat="1" hidden="1" x14ac:dyDescent="0.25">
      <c r="A682" s="68">
        <v>1</v>
      </c>
      <c r="B682" s="23" t="s">
        <v>209</v>
      </c>
      <c r="C682" s="47"/>
      <c r="D682" s="3">
        <v>30700</v>
      </c>
      <c r="E682" s="45"/>
      <c r="F682" s="45"/>
      <c r="G682" s="45"/>
      <c r="H682" s="261"/>
    </row>
    <row r="683" spans="1:8" s="46" customFormat="1" ht="45" hidden="1" x14ac:dyDescent="0.25">
      <c r="A683" s="68">
        <v>1</v>
      </c>
      <c r="B683" s="23" t="s">
        <v>285</v>
      </c>
      <c r="C683" s="47"/>
      <c r="D683" s="13">
        <v>90</v>
      </c>
      <c r="E683" s="45"/>
      <c r="F683" s="45"/>
      <c r="G683" s="45"/>
      <c r="H683" s="261"/>
    </row>
    <row r="684" spans="1:8" hidden="1" x14ac:dyDescent="0.25">
      <c r="A684" s="68">
        <v>1</v>
      </c>
      <c r="B684" s="24" t="s">
        <v>118</v>
      </c>
      <c r="C684" s="22"/>
      <c r="D684" s="3">
        <v>48000</v>
      </c>
      <c r="E684" s="259"/>
      <c r="F684" s="3"/>
      <c r="G684" s="3"/>
    </row>
    <row r="685" spans="1:8" s="46" customFormat="1" hidden="1" x14ac:dyDescent="0.25">
      <c r="A685" s="68">
        <v>1</v>
      </c>
      <c r="B685" s="44" t="s">
        <v>150</v>
      </c>
      <c r="C685" s="262"/>
      <c r="D685" s="3"/>
      <c r="E685" s="45"/>
      <c r="F685" s="45"/>
      <c r="G685" s="45"/>
      <c r="H685" s="261"/>
    </row>
    <row r="686" spans="1:8" s="46" customFormat="1" ht="15.75" hidden="1" customHeight="1" x14ac:dyDescent="0.25">
      <c r="A686" s="68">
        <v>1</v>
      </c>
      <c r="B686" s="49" t="s">
        <v>210</v>
      </c>
      <c r="C686" s="50"/>
      <c r="D686" s="47">
        <f>D678+ROUND(D684*3.2,0)</f>
        <v>190100</v>
      </c>
      <c r="E686" s="51"/>
      <c r="F686" s="51"/>
      <c r="G686" s="56"/>
      <c r="H686" s="261"/>
    </row>
    <row r="687" spans="1:8" s="46" customFormat="1" ht="15.75" hidden="1" customHeight="1" x14ac:dyDescent="0.25">
      <c r="A687" s="68">
        <v>1</v>
      </c>
      <c r="B687" s="21" t="s">
        <v>153</v>
      </c>
      <c r="C687" s="22"/>
      <c r="D687" s="3"/>
      <c r="E687" s="51"/>
      <c r="F687" s="51"/>
      <c r="G687" s="56"/>
      <c r="H687" s="261"/>
    </row>
    <row r="688" spans="1:8" s="46" customFormat="1" ht="30" hidden="1" x14ac:dyDescent="0.25">
      <c r="A688" s="68">
        <v>1</v>
      </c>
      <c r="B688" s="23" t="s">
        <v>322</v>
      </c>
      <c r="C688" s="22"/>
      <c r="D688" s="3">
        <f>SUM(D689,D690,D697,D703,D704,D705)</f>
        <v>22305.200000000001</v>
      </c>
      <c r="E688" s="51"/>
      <c r="F688" s="51"/>
      <c r="G688" s="56"/>
      <c r="H688" s="261"/>
    </row>
    <row r="689" spans="1:8" s="46" customFormat="1" ht="15.75" hidden="1" customHeight="1" x14ac:dyDescent="0.25">
      <c r="A689" s="68">
        <v>1</v>
      </c>
      <c r="B689" s="23" t="s">
        <v>206</v>
      </c>
      <c r="C689" s="22"/>
      <c r="D689" s="3"/>
      <c r="E689" s="51"/>
      <c r="F689" s="51"/>
      <c r="G689" s="56"/>
      <c r="H689" s="261"/>
    </row>
    <row r="690" spans="1:8" s="46" customFormat="1" ht="15.75" hidden="1" customHeight="1" x14ac:dyDescent="0.25">
      <c r="A690" s="68">
        <v>1</v>
      </c>
      <c r="B690" s="48" t="s">
        <v>211</v>
      </c>
      <c r="C690" s="22"/>
      <c r="D690" s="3">
        <f>D691+D692+D693+D695</f>
        <v>10555.2</v>
      </c>
      <c r="E690" s="51"/>
      <c r="F690" s="51"/>
      <c r="G690" s="56"/>
      <c r="H690" s="261"/>
    </row>
    <row r="691" spans="1:8" s="46" customFormat="1" ht="19.5" hidden="1" customHeight="1" x14ac:dyDescent="0.25">
      <c r="A691" s="68">
        <v>1</v>
      </c>
      <c r="B691" s="52" t="s">
        <v>212</v>
      </c>
      <c r="C691" s="22"/>
      <c r="D691" s="45">
        <v>7086</v>
      </c>
      <c r="E691" s="51"/>
      <c r="F691" s="51"/>
      <c r="G691" s="56"/>
      <c r="H691" s="261"/>
    </row>
    <row r="692" spans="1:8" s="46" customFormat="1" ht="15.75" hidden="1" customHeight="1" x14ac:dyDescent="0.25">
      <c r="A692" s="68">
        <v>1</v>
      </c>
      <c r="B692" s="52" t="s">
        <v>213</v>
      </c>
      <c r="C692" s="22"/>
      <c r="D692" s="45">
        <v>3469.2</v>
      </c>
      <c r="E692" s="51"/>
      <c r="F692" s="51"/>
      <c r="G692" s="56"/>
      <c r="H692" s="261"/>
    </row>
    <row r="693" spans="1:8" s="46" customFormat="1" ht="30.75" hidden="1" customHeight="1" x14ac:dyDescent="0.25">
      <c r="A693" s="68">
        <v>1</v>
      </c>
      <c r="B693" s="52" t="s">
        <v>214</v>
      </c>
      <c r="C693" s="22"/>
      <c r="D693" s="45"/>
      <c r="E693" s="51"/>
      <c r="F693" s="51"/>
      <c r="G693" s="56"/>
      <c r="H693" s="261"/>
    </row>
    <row r="694" spans="1:8" s="46" customFormat="1" hidden="1" x14ac:dyDescent="0.25">
      <c r="A694" s="68">
        <v>1</v>
      </c>
      <c r="B694" s="52" t="s">
        <v>215</v>
      </c>
      <c r="C694" s="22"/>
      <c r="D694" s="45"/>
      <c r="E694" s="51"/>
      <c r="F694" s="51"/>
      <c r="G694" s="56"/>
      <c r="H694" s="261"/>
    </row>
    <row r="695" spans="1:8" s="46" customFormat="1" ht="30" hidden="1" x14ac:dyDescent="0.25">
      <c r="A695" s="68">
        <v>1</v>
      </c>
      <c r="B695" s="52" t="s">
        <v>216</v>
      </c>
      <c r="C695" s="22"/>
      <c r="D695" s="45"/>
      <c r="E695" s="51"/>
      <c r="F695" s="51"/>
      <c r="G695" s="56"/>
      <c r="H695" s="261"/>
    </row>
    <row r="696" spans="1:8" s="46" customFormat="1" hidden="1" x14ac:dyDescent="0.25">
      <c r="A696" s="68">
        <v>1</v>
      </c>
      <c r="B696" s="52" t="s">
        <v>215</v>
      </c>
      <c r="C696" s="22"/>
      <c r="D696" s="76"/>
      <c r="E696" s="51"/>
      <c r="F696" s="51"/>
      <c r="G696" s="56"/>
      <c r="H696" s="261"/>
    </row>
    <row r="697" spans="1:8" s="46" customFormat="1" ht="30" hidden="1" customHeight="1" x14ac:dyDescent="0.25">
      <c r="A697" s="68">
        <v>1</v>
      </c>
      <c r="B697" s="48" t="s">
        <v>217</v>
      </c>
      <c r="C697" s="22"/>
      <c r="D697" s="3">
        <f>SUM(D698,D699,D701)</f>
        <v>11750</v>
      </c>
      <c r="E697" s="51"/>
      <c r="F697" s="51"/>
      <c r="G697" s="56"/>
      <c r="H697" s="261"/>
    </row>
    <row r="698" spans="1:8" s="46" customFormat="1" ht="30" hidden="1" x14ac:dyDescent="0.25">
      <c r="A698" s="68">
        <v>1</v>
      </c>
      <c r="B698" s="52" t="s">
        <v>218</v>
      </c>
      <c r="C698" s="22"/>
      <c r="D698" s="3">
        <v>11750</v>
      </c>
      <c r="E698" s="51"/>
      <c r="F698" s="51"/>
      <c r="G698" s="56"/>
      <c r="H698" s="261"/>
    </row>
    <row r="699" spans="1:8" s="46" customFormat="1" ht="45" hidden="1" x14ac:dyDescent="0.25">
      <c r="A699" s="68">
        <v>1</v>
      </c>
      <c r="B699" s="52" t="s">
        <v>219</v>
      </c>
      <c r="C699" s="22"/>
      <c r="D699" s="42"/>
      <c r="E699" s="51"/>
      <c r="F699" s="51"/>
      <c r="G699" s="56"/>
      <c r="H699" s="261"/>
    </row>
    <row r="700" spans="1:8" s="46" customFormat="1" hidden="1" x14ac:dyDescent="0.25">
      <c r="A700" s="68">
        <v>1</v>
      </c>
      <c r="B700" s="52" t="s">
        <v>215</v>
      </c>
      <c r="C700" s="22"/>
      <c r="D700" s="42"/>
      <c r="E700" s="51"/>
      <c r="F700" s="51"/>
      <c r="G700" s="56"/>
      <c r="H700" s="261"/>
    </row>
    <row r="701" spans="1:8" s="46" customFormat="1" ht="45" hidden="1" x14ac:dyDescent="0.25">
      <c r="A701" s="68">
        <v>1</v>
      </c>
      <c r="B701" s="52" t="s">
        <v>220</v>
      </c>
      <c r="C701" s="22"/>
      <c r="D701" s="42"/>
      <c r="E701" s="51"/>
      <c r="F701" s="51"/>
      <c r="G701" s="56"/>
      <c r="H701" s="261"/>
    </row>
    <row r="702" spans="1:8" s="46" customFormat="1" hidden="1" x14ac:dyDescent="0.25">
      <c r="A702" s="68">
        <v>1</v>
      </c>
      <c r="B702" s="52" t="s">
        <v>215</v>
      </c>
      <c r="C702" s="22"/>
      <c r="D702" s="42"/>
      <c r="E702" s="51"/>
      <c r="F702" s="51"/>
      <c r="G702" s="56"/>
      <c r="H702" s="261"/>
    </row>
    <row r="703" spans="1:8" s="46" customFormat="1" ht="31.5" hidden="1" customHeight="1" x14ac:dyDescent="0.25">
      <c r="A703" s="68">
        <v>1</v>
      </c>
      <c r="B703" s="48" t="s">
        <v>221</v>
      </c>
      <c r="C703" s="22"/>
      <c r="D703" s="3"/>
      <c r="E703" s="51"/>
      <c r="F703" s="51"/>
      <c r="G703" s="56"/>
      <c r="H703" s="261"/>
    </row>
    <row r="704" spans="1:8" s="46" customFormat="1" ht="15.75" hidden="1" customHeight="1" x14ac:dyDescent="0.25">
      <c r="A704" s="68">
        <v>1</v>
      </c>
      <c r="B704" s="48" t="s">
        <v>222</v>
      </c>
      <c r="C704" s="22"/>
      <c r="D704" s="3"/>
      <c r="E704" s="51"/>
      <c r="F704" s="51"/>
      <c r="G704" s="56"/>
      <c r="H704" s="261"/>
    </row>
    <row r="705" spans="1:8" s="46" customFormat="1" ht="15.75" hidden="1" customHeight="1" x14ac:dyDescent="0.25">
      <c r="A705" s="68">
        <v>1</v>
      </c>
      <c r="B705" s="23" t="s">
        <v>223</v>
      </c>
      <c r="C705" s="22"/>
      <c r="D705" s="3"/>
      <c r="E705" s="51"/>
      <c r="F705" s="51"/>
      <c r="G705" s="56"/>
      <c r="H705" s="261"/>
    </row>
    <row r="706" spans="1:8" s="46" customFormat="1" hidden="1" x14ac:dyDescent="0.25">
      <c r="A706" s="68">
        <v>1</v>
      </c>
      <c r="B706" s="24" t="s">
        <v>118</v>
      </c>
      <c r="C706" s="47"/>
      <c r="D706" s="45"/>
      <c r="E706" s="51"/>
      <c r="F706" s="51"/>
      <c r="G706" s="56"/>
      <c r="H706" s="261"/>
    </row>
    <row r="707" spans="1:8" s="46" customFormat="1" hidden="1" x14ac:dyDescent="0.25">
      <c r="A707" s="68">
        <v>1</v>
      </c>
      <c r="B707" s="44" t="s">
        <v>150</v>
      </c>
      <c r="C707" s="47"/>
      <c r="D707" s="76"/>
      <c r="E707" s="51"/>
      <c r="F707" s="51"/>
      <c r="G707" s="56"/>
      <c r="H707" s="261"/>
    </row>
    <row r="708" spans="1:8" ht="30" hidden="1" x14ac:dyDescent="0.25">
      <c r="A708" s="68">
        <v>1</v>
      </c>
      <c r="B708" s="24" t="s">
        <v>119</v>
      </c>
      <c r="C708" s="22"/>
      <c r="D708" s="3">
        <v>13600</v>
      </c>
      <c r="E708" s="259"/>
      <c r="F708" s="3"/>
      <c r="G708" s="3"/>
    </row>
    <row r="709" spans="1:8" s="46" customFormat="1" ht="15.75" hidden="1" customHeight="1" x14ac:dyDescent="0.25">
      <c r="A709" s="68">
        <v>1</v>
      </c>
      <c r="B709" s="24" t="s">
        <v>224</v>
      </c>
      <c r="C709" s="22"/>
      <c r="D709" s="3"/>
      <c r="E709" s="51"/>
      <c r="F709" s="51"/>
      <c r="G709" s="56"/>
      <c r="H709" s="261"/>
    </row>
    <row r="710" spans="1:8" s="46" customFormat="1" hidden="1" x14ac:dyDescent="0.25">
      <c r="A710" s="68">
        <v>1</v>
      </c>
      <c r="B710" s="53" t="s">
        <v>225</v>
      </c>
      <c r="C710" s="22"/>
      <c r="D710" s="3"/>
      <c r="E710" s="51"/>
      <c r="F710" s="51"/>
      <c r="G710" s="56"/>
      <c r="H710" s="261"/>
    </row>
    <row r="711" spans="1:8" s="46" customFormat="1" hidden="1" x14ac:dyDescent="0.25">
      <c r="A711" s="68">
        <v>1</v>
      </c>
      <c r="B711" s="54" t="s">
        <v>152</v>
      </c>
      <c r="C711" s="22"/>
      <c r="D711" s="18">
        <f>D688+ROUND(D706*3.2,0)+D708</f>
        <v>35905.199999999997</v>
      </c>
      <c r="E711" s="51"/>
      <c r="F711" s="51"/>
      <c r="G711" s="56"/>
      <c r="H711" s="261"/>
    </row>
    <row r="712" spans="1:8" s="46" customFormat="1" hidden="1" x14ac:dyDescent="0.25">
      <c r="A712" s="68">
        <v>1</v>
      </c>
      <c r="B712" s="55" t="s">
        <v>151</v>
      </c>
      <c r="C712" s="22"/>
      <c r="D712" s="18">
        <f>SUM(D686,D711)</f>
        <v>226005.2</v>
      </c>
      <c r="E712" s="51"/>
      <c r="F712" s="51"/>
      <c r="G712" s="56"/>
      <c r="H712" s="261"/>
    </row>
    <row r="713" spans="1:8" s="46" customFormat="1" hidden="1" x14ac:dyDescent="0.25">
      <c r="A713" s="68">
        <v>1</v>
      </c>
      <c r="B713" s="25" t="s">
        <v>120</v>
      </c>
      <c r="C713" s="22"/>
      <c r="D713" s="202">
        <f>D714+D715</f>
        <v>4248</v>
      </c>
      <c r="E713" s="280"/>
      <c r="F713" s="280"/>
      <c r="G713" s="18"/>
      <c r="H713" s="261"/>
    </row>
    <row r="714" spans="1:8" s="46" customFormat="1" hidden="1" x14ac:dyDescent="0.25">
      <c r="A714" s="68">
        <v>1</v>
      </c>
      <c r="B714" s="30" t="s">
        <v>33</v>
      </c>
      <c r="C714" s="22"/>
      <c r="D714" s="3">
        <v>2248</v>
      </c>
      <c r="E714" s="280"/>
      <c r="F714" s="280"/>
      <c r="G714" s="18"/>
      <c r="H714" s="261"/>
    </row>
    <row r="715" spans="1:8" s="46" customFormat="1" ht="30" hidden="1" x14ac:dyDescent="0.25">
      <c r="A715" s="68"/>
      <c r="B715" s="30" t="s">
        <v>274</v>
      </c>
      <c r="C715" s="207"/>
      <c r="D715" s="3">
        <v>2000</v>
      </c>
      <c r="E715" s="280"/>
      <c r="F715" s="280"/>
      <c r="G715" s="18"/>
      <c r="H715" s="261"/>
    </row>
    <row r="716" spans="1:8" hidden="1" x14ac:dyDescent="0.25">
      <c r="A716" s="68">
        <v>1</v>
      </c>
      <c r="B716" s="34" t="s">
        <v>7</v>
      </c>
      <c r="C716" s="307"/>
      <c r="D716" s="307" t="s">
        <v>318</v>
      </c>
      <c r="E716" s="259"/>
      <c r="F716" s="3"/>
      <c r="G716" s="3"/>
    </row>
    <row r="717" spans="1:8" hidden="1" x14ac:dyDescent="0.25">
      <c r="A717" s="68">
        <v>1</v>
      </c>
      <c r="B717" s="43" t="s">
        <v>76</v>
      </c>
      <c r="C717" s="307"/>
      <c r="D717" s="307"/>
      <c r="E717" s="259"/>
      <c r="F717" s="3"/>
      <c r="G717" s="3"/>
    </row>
    <row r="718" spans="1:8" hidden="1" x14ac:dyDescent="0.25">
      <c r="A718" s="68">
        <v>1</v>
      </c>
      <c r="B718" s="30" t="s">
        <v>37</v>
      </c>
      <c r="C718" s="2">
        <v>240</v>
      </c>
      <c r="D718" s="3">
        <v>1444</v>
      </c>
      <c r="E718" s="60">
        <v>8</v>
      </c>
      <c r="F718" s="3">
        <f>ROUND(G718/C718,0)</f>
        <v>48</v>
      </c>
      <c r="G718" s="3">
        <f>ROUND(D718*E718,0)</f>
        <v>11552</v>
      </c>
    </row>
    <row r="719" spans="1:8" hidden="1" x14ac:dyDescent="0.25">
      <c r="A719" s="68">
        <v>1</v>
      </c>
      <c r="B719" s="30" t="s">
        <v>57</v>
      </c>
      <c r="C719" s="2">
        <v>240</v>
      </c>
      <c r="D719" s="3">
        <v>590</v>
      </c>
      <c r="E719" s="60">
        <v>9</v>
      </c>
      <c r="F719" s="3">
        <f>ROUND(G719/C719,0)</f>
        <v>22</v>
      </c>
      <c r="G719" s="3">
        <f>ROUND(D719*E719,0)</f>
        <v>5310</v>
      </c>
    </row>
    <row r="720" spans="1:8" ht="17.25" hidden="1" customHeight="1" x14ac:dyDescent="0.25">
      <c r="A720" s="68">
        <v>1</v>
      </c>
      <c r="B720" s="219" t="s">
        <v>141</v>
      </c>
      <c r="C720" s="63"/>
      <c r="D720" s="35">
        <f>SUM(D718:D719)</f>
        <v>2034</v>
      </c>
      <c r="E720" s="85">
        <f>E718</f>
        <v>8</v>
      </c>
      <c r="F720" s="35">
        <f t="shared" ref="F720:G720" si="47">SUM(F718:F719)</f>
        <v>70</v>
      </c>
      <c r="G720" s="35">
        <f t="shared" si="47"/>
        <v>16862</v>
      </c>
    </row>
    <row r="721" spans="1:7" ht="17.25" hidden="1" customHeight="1" x14ac:dyDescent="0.25">
      <c r="A721" s="68">
        <v>1</v>
      </c>
      <c r="B721" s="298" t="s">
        <v>116</v>
      </c>
      <c r="C721" s="87"/>
      <c r="D721" s="294">
        <f t="shared" ref="D721" si="48">D720</f>
        <v>2034</v>
      </c>
      <c r="E721" s="303">
        <f t="shared" ref="E721:G721" si="49">E720</f>
        <v>8</v>
      </c>
      <c r="F721" s="294">
        <f t="shared" si="49"/>
        <v>70</v>
      </c>
      <c r="G721" s="294">
        <f t="shared" si="49"/>
        <v>16862</v>
      </c>
    </row>
    <row r="722" spans="1:7" ht="15.75" hidden="1" thickBot="1" x14ac:dyDescent="0.3">
      <c r="A722" s="68">
        <v>1</v>
      </c>
      <c r="B722" s="270" t="s">
        <v>10</v>
      </c>
      <c r="C722" s="81"/>
      <c r="D722" s="81"/>
      <c r="E722" s="81"/>
      <c r="F722" s="81"/>
      <c r="G722" s="81"/>
    </row>
    <row r="723" spans="1:7" hidden="1" x14ac:dyDescent="0.25">
      <c r="A723" s="68">
        <v>1</v>
      </c>
      <c r="B723" s="308"/>
      <c r="C723" s="257"/>
      <c r="D723" s="258"/>
      <c r="E723" s="258"/>
      <c r="F723" s="258"/>
      <c r="G723" s="258"/>
    </row>
    <row r="724" spans="1:7" x14ac:dyDescent="0.25">
      <c r="A724" s="68">
        <v>1</v>
      </c>
      <c r="B724" s="284" t="s">
        <v>134</v>
      </c>
      <c r="C724" s="63"/>
      <c r="D724" s="3"/>
      <c r="E724" s="3"/>
      <c r="F724" s="3"/>
      <c r="G724" s="3"/>
    </row>
    <row r="725" spans="1:7" x14ac:dyDescent="0.25">
      <c r="A725" s="68">
        <v>1</v>
      </c>
      <c r="B725" s="21" t="s">
        <v>185</v>
      </c>
      <c r="C725" s="22"/>
      <c r="D725" s="3"/>
      <c r="E725" s="3"/>
      <c r="F725" s="3"/>
      <c r="G725" s="3"/>
    </row>
    <row r="726" spans="1:7" ht="30" x14ac:dyDescent="0.25">
      <c r="A726" s="68">
        <v>1</v>
      </c>
      <c r="B726" s="23" t="s">
        <v>322</v>
      </c>
      <c r="C726" s="22"/>
      <c r="D726" s="3">
        <f>D727/2.7</f>
        <v>9242.9629629629617</v>
      </c>
      <c r="E726" s="3"/>
      <c r="F726" s="3"/>
      <c r="G726" s="3"/>
    </row>
    <row r="727" spans="1:7" x14ac:dyDescent="0.25">
      <c r="A727" s="68">
        <v>1</v>
      </c>
      <c r="B727" s="23" t="s">
        <v>286</v>
      </c>
      <c r="C727" s="28"/>
      <c r="D727" s="3">
        <f>30000-5044</f>
        <v>24956</v>
      </c>
      <c r="E727" s="28"/>
      <c r="F727" s="28"/>
      <c r="G727" s="28"/>
    </row>
    <row r="728" spans="1:7" x14ac:dyDescent="0.25">
      <c r="A728" s="68">
        <v>1</v>
      </c>
      <c r="B728" s="24" t="s">
        <v>118</v>
      </c>
      <c r="C728" s="22"/>
      <c r="D728" s="3">
        <f>(D729+D730)/8.5</f>
        <v>45785.294117647056</v>
      </c>
      <c r="E728" s="3"/>
      <c r="F728" s="3"/>
      <c r="G728" s="3"/>
    </row>
    <row r="729" spans="1:7" x14ac:dyDescent="0.25">
      <c r="A729" s="68">
        <v>1</v>
      </c>
      <c r="B729" s="309" t="s">
        <v>262</v>
      </c>
      <c r="C729" s="22"/>
      <c r="D729" s="3">
        <v>382810</v>
      </c>
      <c r="E729" s="3"/>
      <c r="F729" s="3"/>
      <c r="G729" s="3"/>
    </row>
    <row r="730" spans="1:7" x14ac:dyDescent="0.25">
      <c r="A730" s="68">
        <v>1</v>
      </c>
      <c r="B730" s="309" t="s">
        <v>263</v>
      </c>
      <c r="C730" s="22"/>
      <c r="D730" s="3">
        <v>6365</v>
      </c>
      <c r="E730" s="3"/>
      <c r="F730" s="3"/>
      <c r="G730" s="3"/>
    </row>
    <row r="731" spans="1:7" ht="30" x14ac:dyDescent="0.25">
      <c r="A731" s="68">
        <v>1</v>
      </c>
      <c r="B731" s="24" t="s">
        <v>119</v>
      </c>
      <c r="C731" s="22"/>
      <c r="D731" s="3"/>
      <c r="E731" s="3"/>
      <c r="F731" s="3"/>
      <c r="G731" s="3"/>
    </row>
    <row r="732" spans="1:7" x14ac:dyDescent="0.25">
      <c r="A732" s="68">
        <v>1</v>
      </c>
      <c r="B732" s="212" t="s">
        <v>151</v>
      </c>
      <c r="C732" s="22"/>
      <c r="D732" s="18">
        <f>D726+ROUND((D729+D730)/3.9,0)+D731</f>
        <v>109030.96296296296</v>
      </c>
      <c r="E732" s="3"/>
      <c r="F732" s="3"/>
      <c r="G732" s="3"/>
    </row>
    <row r="733" spans="1:7" ht="15.75" thickBot="1" x14ac:dyDescent="0.3">
      <c r="A733" s="68">
        <v>1</v>
      </c>
      <c r="B733" s="253" t="s">
        <v>10</v>
      </c>
      <c r="C733" s="254"/>
      <c r="D733" s="254"/>
      <c r="E733" s="254"/>
      <c r="F733" s="254"/>
      <c r="G733" s="254"/>
    </row>
    <row r="734" spans="1:7" hidden="1" x14ac:dyDescent="0.25">
      <c r="A734" s="68">
        <v>1</v>
      </c>
      <c r="B734" s="291"/>
      <c r="C734" s="257"/>
      <c r="D734" s="258"/>
      <c r="E734" s="258"/>
      <c r="F734" s="258"/>
      <c r="G734" s="258"/>
    </row>
    <row r="735" spans="1:7" x14ac:dyDescent="0.25">
      <c r="A735" s="68">
        <v>1</v>
      </c>
      <c r="B735" s="284" t="s">
        <v>135</v>
      </c>
      <c r="C735" s="63"/>
      <c r="D735" s="3"/>
      <c r="E735" s="3"/>
      <c r="F735" s="3"/>
      <c r="G735" s="3"/>
    </row>
    <row r="736" spans="1:7" x14ac:dyDescent="0.25">
      <c r="A736" s="68">
        <v>1</v>
      </c>
      <c r="B736" s="21" t="s">
        <v>6</v>
      </c>
      <c r="C736" s="22"/>
      <c r="D736" s="3"/>
      <c r="E736" s="3"/>
      <c r="F736" s="3"/>
      <c r="G736" s="3"/>
    </row>
    <row r="737" spans="1:7" ht="30" x14ac:dyDescent="0.25">
      <c r="A737" s="68">
        <v>1</v>
      </c>
      <c r="B737" s="23" t="s">
        <v>322</v>
      </c>
      <c r="C737" s="22"/>
      <c r="D737" s="3">
        <f>D738/2.7</f>
        <v>17950</v>
      </c>
      <c r="E737" s="3"/>
      <c r="F737" s="3"/>
      <c r="G737" s="3"/>
    </row>
    <row r="738" spans="1:7" x14ac:dyDescent="0.25">
      <c r="A738" s="68">
        <v>1</v>
      </c>
      <c r="B738" s="23" t="s">
        <v>286</v>
      </c>
      <c r="C738" s="28"/>
      <c r="D738" s="3">
        <v>48465</v>
      </c>
      <c r="E738" s="28"/>
      <c r="F738" s="28"/>
      <c r="G738" s="28"/>
    </row>
    <row r="739" spans="1:7" x14ac:dyDescent="0.25">
      <c r="A739" s="68">
        <v>1</v>
      </c>
      <c r="B739" s="24" t="s">
        <v>118</v>
      </c>
      <c r="C739" s="22"/>
      <c r="D739" s="3">
        <f>(D740+D741)/8.5</f>
        <v>32415.882352941175</v>
      </c>
      <c r="E739" s="3"/>
      <c r="F739" s="3"/>
      <c r="G739" s="3"/>
    </row>
    <row r="740" spans="1:7" x14ac:dyDescent="0.25">
      <c r="A740" s="68">
        <v>1</v>
      </c>
      <c r="B740" s="309" t="s">
        <v>262</v>
      </c>
      <c r="C740" s="22"/>
      <c r="D740" s="3">
        <v>270035</v>
      </c>
      <c r="E740" s="3"/>
      <c r="F740" s="3"/>
      <c r="G740" s="3"/>
    </row>
    <row r="741" spans="1:7" x14ac:dyDescent="0.25">
      <c r="A741" s="68">
        <v>1</v>
      </c>
      <c r="B741" s="309" t="s">
        <v>263</v>
      </c>
      <c r="C741" s="22"/>
      <c r="D741" s="3">
        <v>5500</v>
      </c>
      <c r="E741" s="3"/>
      <c r="F741" s="3"/>
      <c r="G741" s="3"/>
    </row>
    <row r="742" spans="1:7" ht="30" x14ac:dyDescent="0.25">
      <c r="A742" s="68">
        <v>1</v>
      </c>
      <c r="B742" s="24" t="s">
        <v>119</v>
      </c>
      <c r="C742" s="22"/>
      <c r="D742" s="3"/>
      <c r="E742" s="3"/>
      <c r="F742" s="3"/>
      <c r="G742" s="3"/>
    </row>
    <row r="743" spans="1:7" x14ac:dyDescent="0.25">
      <c r="A743" s="68">
        <v>1</v>
      </c>
      <c r="B743" s="212" t="s">
        <v>151</v>
      </c>
      <c r="C743" s="22"/>
      <c r="D743" s="18">
        <f>D737+ROUND((D740+D741)/3.9,0)+D742</f>
        <v>88600</v>
      </c>
      <c r="E743" s="3"/>
      <c r="F743" s="3"/>
      <c r="G743" s="3"/>
    </row>
    <row r="744" spans="1:7" ht="15.75" thickBot="1" x14ac:dyDescent="0.3">
      <c r="A744" s="68">
        <v>1</v>
      </c>
      <c r="B744" s="253" t="s">
        <v>10</v>
      </c>
      <c r="C744" s="254"/>
      <c r="D744" s="254"/>
      <c r="E744" s="254"/>
      <c r="F744" s="254"/>
      <c r="G744" s="254"/>
    </row>
    <row r="745" spans="1:7" ht="14.25" hidden="1" customHeight="1" thickBot="1" x14ac:dyDescent="0.3">
      <c r="A745" s="68">
        <v>1</v>
      </c>
      <c r="B745" s="291"/>
      <c r="C745" s="257"/>
      <c r="D745" s="258"/>
      <c r="E745" s="258"/>
      <c r="F745" s="258"/>
      <c r="G745" s="258"/>
    </row>
    <row r="746" spans="1:7" hidden="1" x14ac:dyDescent="0.25">
      <c r="A746" s="68">
        <v>1</v>
      </c>
      <c r="B746" s="310"/>
      <c r="C746" s="292"/>
      <c r="D746" s="258"/>
      <c r="E746" s="258"/>
      <c r="F746" s="258"/>
      <c r="G746" s="258"/>
    </row>
    <row r="747" spans="1:7" hidden="1" x14ac:dyDescent="0.25">
      <c r="A747" s="68">
        <v>1</v>
      </c>
      <c r="B747" s="242" t="s">
        <v>154</v>
      </c>
      <c r="C747" s="2"/>
      <c r="D747" s="3"/>
      <c r="E747" s="3"/>
      <c r="F747" s="3"/>
      <c r="G747" s="3"/>
    </row>
    <row r="748" spans="1:7" hidden="1" x14ac:dyDescent="0.25">
      <c r="A748" s="68">
        <v>1</v>
      </c>
      <c r="B748" s="21" t="s">
        <v>185</v>
      </c>
      <c r="C748" s="22"/>
      <c r="D748" s="3"/>
      <c r="E748" s="3"/>
      <c r="F748" s="3"/>
      <c r="G748" s="3"/>
    </row>
    <row r="749" spans="1:7" ht="30" hidden="1" x14ac:dyDescent="0.25">
      <c r="A749" s="68">
        <v>1</v>
      </c>
      <c r="B749" s="23" t="s">
        <v>322</v>
      </c>
      <c r="C749" s="22"/>
      <c r="D749" s="3">
        <f>D750/2.7</f>
        <v>5555.5555555555547</v>
      </c>
      <c r="E749" s="3"/>
      <c r="F749" s="3"/>
      <c r="G749" s="3"/>
    </row>
    <row r="750" spans="1:7" hidden="1" x14ac:dyDescent="0.25">
      <c r="A750" s="68">
        <v>1</v>
      </c>
      <c r="B750" s="23" t="s">
        <v>286</v>
      </c>
      <c r="C750" s="28"/>
      <c r="D750" s="3">
        <v>15000</v>
      </c>
      <c r="E750" s="28"/>
      <c r="F750" s="28"/>
      <c r="G750" s="28"/>
    </row>
    <row r="751" spans="1:7" hidden="1" x14ac:dyDescent="0.25">
      <c r="A751" s="68">
        <v>1</v>
      </c>
      <c r="B751" s="24" t="s">
        <v>118</v>
      </c>
      <c r="C751" s="22"/>
      <c r="D751" s="3">
        <f>(D752+D753)/8.5</f>
        <v>36594.941176470587</v>
      </c>
      <c r="E751" s="3"/>
      <c r="F751" s="3"/>
      <c r="G751" s="3"/>
    </row>
    <row r="752" spans="1:7" hidden="1" x14ac:dyDescent="0.25">
      <c r="A752" s="68">
        <v>1</v>
      </c>
      <c r="B752" s="309" t="s">
        <v>262</v>
      </c>
      <c r="C752" s="22"/>
      <c r="D752" s="3">
        <v>309057</v>
      </c>
      <c r="E752" s="3"/>
      <c r="F752" s="3"/>
      <c r="G752" s="3"/>
    </row>
    <row r="753" spans="1:8" hidden="1" x14ac:dyDescent="0.25">
      <c r="A753" s="68">
        <v>1</v>
      </c>
      <c r="B753" s="309" t="s">
        <v>263</v>
      </c>
      <c r="C753" s="22"/>
      <c r="D753" s="3">
        <v>2000</v>
      </c>
      <c r="E753" s="3"/>
      <c r="F753" s="3"/>
      <c r="G753" s="3"/>
    </row>
    <row r="754" spans="1:8" ht="30" hidden="1" x14ac:dyDescent="0.25">
      <c r="A754" s="68">
        <v>1</v>
      </c>
      <c r="B754" s="24" t="s">
        <v>119</v>
      </c>
      <c r="C754" s="22"/>
      <c r="D754" s="3"/>
      <c r="E754" s="3"/>
      <c r="F754" s="3"/>
      <c r="G754" s="3"/>
    </row>
    <row r="755" spans="1:8" hidden="1" x14ac:dyDescent="0.25">
      <c r="A755" s="68">
        <v>1</v>
      </c>
      <c r="B755" s="212" t="s">
        <v>151</v>
      </c>
      <c r="C755" s="22"/>
      <c r="D755" s="18">
        <f>D749+ROUND((D752+D753)/3.9,0)+D754</f>
        <v>85313.555555555562</v>
      </c>
      <c r="E755" s="3"/>
      <c r="F755" s="3"/>
      <c r="G755" s="3"/>
    </row>
    <row r="756" spans="1:8" ht="15.75" hidden="1" thickBot="1" x14ac:dyDescent="0.3">
      <c r="A756" s="68">
        <v>1</v>
      </c>
      <c r="B756" s="270" t="s">
        <v>10</v>
      </c>
      <c r="C756" s="271"/>
      <c r="D756" s="311"/>
      <c r="E756" s="311"/>
      <c r="F756" s="311"/>
      <c r="G756" s="311"/>
    </row>
    <row r="757" spans="1:8" ht="21.75" hidden="1" customHeight="1" x14ac:dyDescent="0.25">
      <c r="A757" s="68">
        <v>1</v>
      </c>
      <c r="B757" s="312" t="s">
        <v>155</v>
      </c>
      <c r="C757" s="273"/>
      <c r="D757" s="3"/>
      <c r="E757" s="3"/>
      <c r="F757" s="3"/>
      <c r="G757" s="3"/>
    </row>
    <row r="758" spans="1:8" s="46" customFormat="1" ht="18.75" hidden="1" customHeight="1" x14ac:dyDescent="0.25">
      <c r="A758" s="68">
        <v>1</v>
      </c>
      <c r="B758" s="21" t="s">
        <v>205</v>
      </c>
      <c r="C758" s="21"/>
      <c r="D758" s="74"/>
      <c r="E758" s="45"/>
      <c r="F758" s="45"/>
      <c r="G758" s="45"/>
      <c r="H758" s="261"/>
    </row>
    <row r="759" spans="1:8" s="46" customFormat="1" ht="30" hidden="1" x14ac:dyDescent="0.25">
      <c r="A759" s="68">
        <v>1</v>
      </c>
      <c r="B759" s="23" t="s">
        <v>322</v>
      </c>
      <c r="C759" s="47"/>
      <c r="D759" s="45">
        <f>SUM(D760,D761,D762,D763)</f>
        <v>21000</v>
      </c>
      <c r="E759" s="45"/>
      <c r="F759" s="45"/>
      <c r="G759" s="45"/>
      <c r="H759" s="261"/>
    </row>
    <row r="760" spans="1:8" s="46" customFormat="1" hidden="1" x14ac:dyDescent="0.25">
      <c r="A760" s="68">
        <v>1</v>
      </c>
      <c r="B760" s="48" t="s">
        <v>206</v>
      </c>
      <c r="C760" s="47"/>
      <c r="D760" s="45"/>
      <c r="E760" s="45"/>
      <c r="F760" s="45"/>
      <c r="G760" s="45"/>
      <c r="H760" s="261"/>
    </row>
    <row r="761" spans="1:8" s="46" customFormat="1" ht="17.25" hidden="1" customHeight="1" x14ac:dyDescent="0.25">
      <c r="A761" s="68">
        <v>1</v>
      </c>
      <c r="B761" s="48" t="s">
        <v>207</v>
      </c>
      <c r="C761" s="47"/>
      <c r="D761" s="3">
        <v>3000</v>
      </c>
      <c r="E761" s="45"/>
      <c r="F761" s="45"/>
      <c r="G761" s="45"/>
      <c r="H761" s="261"/>
    </row>
    <row r="762" spans="1:8" s="46" customFormat="1" ht="30" hidden="1" x14ac:dyDescent="0.25">
      <c r="A762" s="68">
        <v>1</v>
      </c>
      <c r="B762" s="48" t="s">
        <v>208</v>
      </c>
      <c r="C762" s="47"/>
      <c r="D762" s="3"/>
      <c r="E762" s="45"/>
      <c r="F762" s="45"/>
      <c r="G762" s="45"/>
      <c r="H762" s="261"/>
    </row>
    <row r="763" spans="1:8" s="46" customFormat="1" hidden="1" x14ac:dyDescent="0.25">
      <c r="A763" s="68">
        <v>1</v>
      </c>
      <c r="B763" s="23" t="s">
        <v>209</v>
      </c>
      <c r="C763" s="47"/>
      <c r="D763" s="3">
        <v>18000</v>
      </c>
      <c r="E763" s="45"/>
      <c r="F763" s="45"/>
      <c r="G763" s="45"/>
      <c r="H763" s="261"/>
    </row>
    <row r="764" spans="1:8" s="68" customFormat="1" hidden="1" x14ac:dyDescent="0.25">
      <c r="A764" s="68">
        <v>1</v>
      </c>
      <c r="B764" s="24" t="s">
        <v>118</v>
      </c>
      <c r="C764" s="22"/>
      <c r="D764" s="3">
        <v>35000</v>
      </c>
      <c r="E764" s="3"/>
      <c r="F764" s="3"/>
      <c r="G764" s="3"/>
      <c r="H764" s="241"/>
    </row>
    <row r="765" spans="1:8" s="46" customFormat="1" hidden="1" x14ac:dyDescent="0.25">
      <c r="A765" s="68">
        <v>1</v>
      </c>
      <c r="B765" s="44" t="s">
        <v>150</v>
      </c>
      <c r="C765" s="262"/>
      <c r="D765" s="3"/>
      <c r="E765" s="45"/>
      <c r="F765" s="45"/>
      <c r="G765" s="45"/>
      <c r="H765" s="261"/>
    </row>
    <row r="766" spans="1:8" s="46" customFormat="1" ht="15.75" hidden="1" customHeight="1" x14ac:dyDescent="0.25">
      <c r="A766" s="68">
        <v>1</v>
      </c>
      <c r="B766" s="49" t="s">
        <v>210</v>
      </c>
      <c r="C766" s="50"/>
      <c r="D766" s="47">
        <f>D759+ROUND(D764*3.2,0)</f>
        <v>133000</v>
      </c>
      <c r="E766" s="51"/>
      <c r="F766" s="51"/>
      <c r="G766" s="56"/>
      <c r="H766" s="261"/>
    </row>
    <row r="767" spans="1:8" s="46" customFormat="1" ht="15.75" hidden="1" customHeight="1" x14ac:dyDescent="0.25">
      <c r="A767" s="68">
        <v>1</v>
      </c>
      <c r="B767" s="21" t="s">
        <v>153</v>
      </c>
      <c r="C767" s="22"/>
      <c r="D767" s="3"/>
      <c r="E767" s="51"/>
      <c r="F767" s="51"/>
      <c r="G767" s="56"/>
      <c r="H767" s="261"/>
    </row>
    <row r="768" spans="1:8" s="46" customFormat="1" ht="30.75" hidden="1" customHeight="1" x14ac:dyDescent="0.25">
      <c r="A768" s="68">
        <v>1</v>
      </c>
      <c r="B768" s="23" t="s">
        <v>322</v>
      </c>
      <c r="C768" s="22"/>
      <c r="D768" s="3">
        <f>SUM(D769,D770,D777,D783,D784,D785)</f>
        <v>64459</v>
      </c>
      <c r="E768" s="51"/>
      <c r="F768" s="51"/>
      <c r="G768" s="56"/>
      <c r="H768" s="261"/>
    </row>
    <row r="769" spans="1:8" s="46" customFormat="1" ht="15.75" hidden="1" customHeight="1" x14ac:dyDescent="0.25">
      <c r="A769" s="68">
        <v>1</v>
      </c>
      <c r="B769" s="23" t="s">
        <v>206</v>
      </c>
      <c r="C769" s="22"/>
      <c r="D769" s="3"/>
      <c r="E769" s="51"/>
      <c r="F769" s="51"/>
      <c r="G769" s="56"/>
      <c r="H769" s="261"/>
    </row>
    <row r="770" spans="1:8" s="46" customFormat="1" ht="15.75" hidden="1" customHeight="1" x14ac:dyDescent="0.25">
      <c r="A770" s="68">
        <v>1</v>
      </c>
      <c r="B770" s="48" t="s">
        <v>211</v>
      </c>
      <c r="C770" s="22"/>
      <c r="D770" s="3">
        <f>D771+D772+D773+D775</f>
        <v>1459</v>
      </c>
      <c r="E770" s="51"/>
      <c r="F770" s="51"/>
      <c r="G770" s="56"/>
      <c r="H770" s="261"/>
    </row>
    <row r="771" spans="1:8" s="46" customFormat="1" ht="19.5" hidden="1" customHeight="1" x14ac:dyDescent="0.25">
      <c r="A771" s="68">
        <v>1</v>
      </c>
      <c r="B771" s="52" t="s">
        <v>212</v>
      </c>
      <c r="C771" s="22"/>
      <c r="D771" s="45"/>
      <c r="E771" s="51"/>
      <c r="F771" s="51"/>
      <c r="G771" s="56"/>
      <c r="H771" s="261"/>
    </row>
    <row r="772" spans="1:8" s="46" customFormat="1" ht="15.75" hidden="1" customHeight="1" x14ac:dyDescent="0.25">
      <c r="A772" s="68">
        <v>1</v>
      </c>
      <c r="B772" s="52" t="s">
        <v>213</v>
      </c>
      <c r="C772" s="22"/>
      <c r="D772" s="45"/>
      <c r="E772" s="51"/>
      <c r="F772" s="51"/>
      <c r="G772" s="56"/>
      <c r="H772" s="261"/>
    </row>
    <row r="773" spans="1:8" s="46" customFormat="1" ht="30.75" hidden="1" customHeight="1" x14ac:dyDescent="0.25">
      <c r="A773" s="68">
        <v>1</v>
      </c>
      <c r="B773" s="52" t="s">
        <v>214</v>
      </c>
      <c r="C773" s="22"/>
      <c r="D773" s="45">
        <v>671</v>
      </c>
      <c r="E773" s="51"/>
      <c r="F773" s="51"/>
      <c r="G773" s="56"/>
      <c r="H773" s="261"/>
    </row>
    <row r="774" spans="1:8" s="46" customFormat="1" hidden="1" x14ac:dyDescent="0.25">
      <c r="A774" s="68">
        <v>1</v>
      </c>
      <c r="B774" s="52" t="s">
        <v>215</v>
      </c>
      <c r="C774" s="22"/>
      <c r="D774" s="45">
        <v>89</v>
      </c>
      <c r="E774" s="51"/>
      <c r="F774" s="51"/>
      <c r="G774" s="56"/>
      <c r="H774" s="261"/>
    </row>
    <row r="775" spans="1:8" s="46" customFormat="1" ht="30" hidden="1" x14ac:dyDescent="0.25">
      <c r="A775" s="68">
        <v>1</v>
      </c>
      <c r="B775" s="52" t="s">
        <v>216</v>
      </c>
      <c r="C775" s="22"/>
      <c r="D775" s="45">
        <v>788</v>
      </c>
      <c r="E775" s="51"/>
      <c r="F775" s="51"/>
      <c r="G775" s="56"/>
      <c r="H775" s="261"/>
    </row>
    <row r="776" spans="1:8" s="46" customFormat="1" hidden="1" x14ac:dyDescent="0.25">
      <c r="A776" s="68">
        <v>1</v>
      </c>
      <c r="B776" s="52" t="s">
        <v>215</v>
      </c>
      <c r="C776" s="22"/>
      <c r="D776" s="76">
        <v>113</v>
      </c>
      <c r="E776" s="51"/>
      <c r="F776" s="51"/>
      <c r="G776" s="56"/>
      <c r="H776" s="261"/>
    </row>
    <row r="777" spans="1:8" s="46" customFormat="1" ht="30" hidden="1" customHeight="1" x14ac:dyDescent="0.25">
      <c r="A777" s="68">
        <v>1</v>
      </c>
      <c r="B777" s="48" t="s">
        <v>217</v>
      </c>
      <c r="C777" s="22"/>
      <c r="D777" s="3">
        <f>SUM(D778,D779,D781)</f>
        <v>63000</v>
      </c>
      <c r="E777" s="51"/>
      <c r="F777" s="51"/>
      <c r="G777" s="56"/>
      <c r="H777" s="261"/>
    </row>
    <row r="778" spans="1:8" s="46" customFormat="1" ht="30" hidden="1" x14ac:dyDescent="0.25">
      <c r="A778" s="68">
        <v>1</v>
      </c>
      <c r="B778" s="52" t="s">
        <v>218</v>
      </c>
      <c r="C778" s="22"/>
      <c r="D778" s="3"/>
      <c r="E778" s="51"/>
      <c r="F778" s="51"/>
      <c r="G778" s="56"/>
      <c r="H778" s="261"/>
    </row>
    <row r="779" spans="1:8" s="46" customFormat="1" ht="45" hidden="1" x14ac:dyDescent="0.25">
      <c r="A779" s="68">
        <v>1</v>
      </c>
      <c r="B779" s="52" t="s">
        <v>219</v>
      </c>
      <c r="C779" s="22"/>
      <c r="D779" s="42">
        <v>55000</v>
      </c>
      <c r="E779" s="51"/>
      <c r="F779" s="51"/>
      <c r="G779" s="56"/>
      <c r="H779" s="261"/>
    </row>
    <row r="780" spans="1:8" s="46" customFormat="1" hidden="1" x14ac:dyDescent="0.25">
      <c r="A780" s="68">
        <v>1</v>
      </c>
      <c r="B780" s="52" t="s">
        <v>215</v>
      </c>
      <c r="C780" s="22"/>
      <c r="D780" s="42">
        <v>15500</v>
      </c>
      <c r="E780" s="51"/>
      <c r="F780" s="51"/>
      <c r="G780" s="56"/>
      <c r="H780" s="261"/>
    </row>
    <row r="781" spans="1:8" s="46" customFormat="1" ht="45" hidden="1" x14ac:dyDescent="0.25">
      <c r="A781" s="68">
        <v>1</v>
      </c>
      <c r="B781" s="52" t="s">
        <v>220</v>
      </c>
      <c r="C781" s="22"/>
      <c r="D781" s="42">
        <v>8000</v>
      </c>
      <c r="E781" s="51"/>
      <c r="F781" s="51"/>
      <c r="G781" s="56"/>
      <c r="H781" s="261"/>
    </row>
    <row r="782" spans="1:8" s="46" customFormat="1" hidden="1" x14ac:dyDescent="0.25">
      <c r="A782" s="68">
        <v>1</v>
      </c>
      <c r="B782" s="52" t="s">
        <v>215</v>
      </c>
      <c r="C782" s="22"/>
      <c r="D782" s="42">
        <v>5000</v>
      </c>
      <c r="E782" s="51"/>
      <c r="F782" s="51"/>
      <c r="G782" s="56"/>
      <c r="H782" s="261"/>
    </row>
    <row r="783" spans="1:8" s="46" customFormat="1" ht="31.5" hidden="1" customHeight="1" x14ac:dyDescent="0.25">
      <c r="A783" s="68">
        <v>1</v>
      </c>
      <c r="B783" s="48" t="s">
        <v>221</v>
      </c>
      <c r="C783" s="22"/>
      <c r="D783" s="3"/>
      <c r="E783" s="51"/>
      <c r="F783" s="51"/>
      <c r="G783" s="56"/>
      <c r="H783" s="261"/>
    </row>
    <row r="784" spans="1:8" s="46" customFormat="1" ht="15.75" hidden="1" customHeight="1" x14ac:dyDescent="0.25">
      <c r="A784" s="68">
        <v>1</v>
      </c>
      <c r="B784" s="48" t="s">
        <v>222</v>
      </c>
      <c r="C784" s="22"/>
      <c r="D784" s="3"/>
      <c r="E784" s="51"/>
      <c r="F784" s="51"/>
      <c r="G784" s="56"/>
      <c r="H784" s="261"/>
    </row>
    <row r="785" spans="1:8" s="46" customFormat="1" ht="15.75" hidden="1" customHeight="1" x14ac:dyDescent="0.25">
      <c r="A785" s="68">
        <v>1</v>
      </c>
      <c r="B785" s="23" t="s">
        <v>223</v>
      </c>
      <c r="C785" s="22"/>
      <c r="D785" s="3"/>
      <c r="E785" s="51"/>
      <c r="F785" s="51"/>
      <c r="G785" s="56"/>
      <c r="H785" s="261"/>
    </row>
    <row r="786" spans="1:8" s="46" customFormat="1" hidden="1" x14ac:dyDescent="0.25">
      <c r="A786" s="68">
        <v>1</v>
      </c>
      <c r="B786" s="24" t="s">
        <v>118</v>
      </c>
      <c r="C786" s="47"/>
      <c r="D786" s="45"/>
      <c r="E786" s="51"/>
      <c r="F786" s="51"/>
      <c r="G786" s="56"/>
      <c r="H786" s="261"/>
    </row>
    <row r="787" spans="1:8" s="46" customFormat="1" hidden="1" x14ac:dyDescent="0.25">
      <c r="A787" s="68">
        <v>1</v>
      </c>
      <c r="B787" s="44" t="s">
        <v>150</v>
      </c>
      <c r="C787" s="47"/>
      <c r="D787" s="76"/>
      <c r="E787" s="51"/>
      <c r="F787" s="51"/>
      <c r="G787" s="56"/>
      <c r="H787" s="261"/>
    </row>
    <row r="788" spans="1:8" s="68" customFormat="1" ht="30" hidden="1" x14ac:dyDescent="0.25">
      <c r="A788" s="68">
        <v>1</v>
      </c>
      <c r="B788" s="24" t="s">
        <v>119</v>
      </c>
      <c r="C788" s="22"/>
      <c r="D788" s="3">
        <v>13860</v>
      </c>
      <c r="E788" s="3"/>
      <c r="F788" s="3"/>
      <c r="G788" s="3"/>
      <c r="H788" s="241"/>
    </row>
    <row r="789" spans="1:8" s="46" customFormat="1" ht="15.75" hidden="1" customHeight="1" x14ac:dyDescent="0.25">
      <c r="A789" s="68">
        <v>1</v>
      </c>
      <c r="B789" s="24" t="s">
        <v>224</v>
      </c>
      <c r="C789" s="22"/>
      <c r="D789" s="3"/>
      <c r="E789" s="51"/>
      <c r="F789" s="51"/>
      <c r="G789" s="56"/>
      <c r="H789" s="261"/>
    </row>
    <row r="790" spans="1:8" s="46" customFormat="1" hidden="1" x14ac:dyDescent="0.25">
      <c r="A790" s="68">
        <v>1</v>
      </c>
      <c r="B790" s="53"/>
      <c r="C790" s="22"/>
      <c r="D790" s="3"/>
      <c r="E790" s="51"/>
      <c r="F790" s="51"/>
      <c r="G790" s="56"/>
      <c r="H790" s="261"/>
    </row>
    <row r="791" spans="1:8" s="46" customFormat="1" hidden="1" x14ac:dyDescent="0.25">
      <c r="A791" s="68">
        <v>1</v>
      </c>
      <c r="B791" s="54" t="s">
        <v>152</v>
      </c>
      <c r="C791" s="22"/>
      <c r="D791" s="18">
        <f>D768+ROUND(D786*3.2,0)+D788</f>
        <v>78319</v>
      </c>
      <c r="E791" s="51"/>
      <c r="F791" s="51"/>
      <c r="G791" s="56"/>
      <c r="H791" s="261"/>
    </row>
    <row r="792" spans="1:8" s="46" customFormat="1" hidden="1" x14ac:dyDescent="0.25">
      <c r="A792" s="68">
        <v>1</v>
      </c>
      <c r="B792" s="55" t="s">
        <v>151</v>
      </c>
      <c r="C792" s="22"/>
      <c r="D792" s="18">
        <f>SUM(D766,D791)</f>
        <v>211319</v>
      </c>
      <c r="E792" s="51"/>
      <c r="F792" s="51"/>
      <c r="G792" s="56"/>
      <c r="H792" s="261"/>
    </row>
    <row r="793" spans="1:8" s="46" customFormat="1" hidden="1" x14ac:dyDescent="0.25">
      <c r="A793" s="68">
        <v>1</v>
      </c>
      <c r="B793" s="25" t="s">
        <v>120</v>
      </c>
      <c r="C793" s="22"/>
      <c r="D793" s="202">
        <f>D794</f>
        <v>3000</v>
      </c>
      <c r="E793" s="280"/>
      <c r="F793" s="280"/>
      <c r="G793" s="18"/>
      <c r="H793" s="261"/>
    </row>
    <row r="794" spans="1:8" s="46" customFormat="1" hidden="1" x14ac:dyDescent="0.25">
      <c r="A794" s="68">
        <v>1</v>
      </c>
      <c r="B794" s="36" t="s">
        <v>52</v>
      </c>
      <c r="C794" s="22"/>
      <c r="D794" s="3">
        <v>3000</v>
      </c>
      <c r="E794" s="280"/>
      <c r="F794" s="280"/>
      <c r="G794" s="18"/>
      <c r="H794" s="261"/>
    </row>
    <row r="795" spans="1:8" s="68" customFormat="1" hidden="1" x14ac:dyDescent="0.25">
      <c r="A795" s="68">
        <v>1</v>
      </c>
      <c r="B795" s="34" t="s">
        <v>7</v>
      </c>
      <c r="C795" s="307"/>
      <c r="D795" s="307"/>
      <c r="E795" s="3"/>
      <c r="F795" s="3"/>
      <c r="G795" s="3"/>
      <c r="H795" s="241"/>
    </row>
    <row r="796" spans="1:8" s="68" customFormat="1" hidden="1" x14ac:dyDescent="0.25">
      <c r="A796" s="68">
        <v>1</v>
      </c>
      <c r="B796" s="43" t="s">
        <v>76</v>
      </c>
      <c r="C796" s="307"/>
      <c r="D796" s="307"/>
      <c r="E796" s="3"/>
      <c r="F796" s="3"/>
      <c r="G796" s="3"/>
      <c r="H796" s="241"/>
    </row>
    <row r="797" spans="1:8" s="68" customFormat="1" hidden="1" x14ac:dyDescent="0.25">
      <c r="A797" s="68">
        <v>1</v>
      </c>
      <c r="B797" s="30" t="s">
        <v>26</v>
      </c>
      <c r="C797" s="2">
        <v>240</v>
      </c>
      <c r="D797" s="3">
        <v>850</v>
      </c>
      <c r="E797" s="60">
        <v>8</v>
      </c>
      <c r="F797" s="3">
        <f t="shared" ref="F797:F798" si="50">ROUND(G797/C797,0)</f>
        <v>28</v>
      </c>
      <c r="G797" s="3">
        <f>ROUND(D797*E797,0)</f>
        <v>6800</v>
      </c>
      <c r="H797" s="241"/>
    </row>
    <row r="798" spans="1:8" s="68" customFormat="1" hidden="1" x14ac:dyDescent="0.25">
      <c r="A798" s="68">
        <v>1</v>
      </c>
      <c r="B798" s="30" t="s">
        <v>11</v>
      </c>
      <c r="C798" s="2">
        <v>240</v>
      </c>
      <c r="D798" s="3">
        <v>40</v>
      </c>
      <c r="E798" s="60">
        <v>3</v>
      </c>
      <c r="F798" s="3">
        <f t="shared" si="50"/>
        <v>1</v>
      </c>
      <c r="G798" s="3">
        <f>ROUND(D798*E798,0)</f>
        <v>120</v>
      </c>
      <c r="H798" s="241"/>
    </row>
    <row r="799" spans="1:8" s="68" customFormat="1" hidden="1" x14ac:dyDescent="0.25">
      <c r="A799" s="68">
        <v>1</v>
      </c>
      <c r="B799" s="30" t="s">
        <v>8</v>
      </c>
      <c r="C799" s="2">
        <v>240</v>
      </c>
      <c r="D799" s="3">
        <v>100</v>
      </c>
      <c r="E799" s="60">
        <v>8</v>
      </c>
      <c r="F799" s="3">
        <f t="shared" ref="F799" si="51">ROUND(G799/C799,0)</f>
        <v>3</v>
      </c>
      <c r="G799" s="3">
        <f>ROUND(D799*E799,0)</f>
        <v>800</v>
      </c>
      <c r="H799" s="241"/>
    </row>
    <row r="800" spans="1:8" s="68" customFormat="1" ht="18.75" hidden="1" customHeight="1" x14ac:dyDescent="0.25">
      <c r="A800" s="68">
        <v>1</v>
      </c>
      <c r="B800" s="219" t="s">
        <v>141</v>
      </c>
      <c r="C800" s="2"/>
      <c r="D800" s="35">
        <f>D797+D798+D799</f>
        <v>990</v>
      </c>
      <c r="E800" s="85">
        <f>G800/D800</f>
        <v>7.7979797979797976</v>
      </c>
      <c r="F800" s="35">
        <f t="shared" ref="F800:G800" si="52">F797+F798+F799</f>
        <v>32</v>
      </c>
      <c r="G800" s="35">
        <f t="shared" si="52"/>
        <v>7720</v>
      </c>
      <c r="H800" s="241"/>
    </row>
    <row r="801" spans="1:8" s="68" customFormat="1" ht="18.75" hidden="1" customHeight="1" x14ac:dyDescent="0.25">
      <c r="A801" s="68">
        <v>1</v>
      </c>
      <c r="B801" s="298" t="s">
        <v>116</v>
      </c>
      <c r="C801" s="2"/>
      <c r="D801" s="18">
        <f t="shared" ref="D801" si="53">D800</f>
        <v>990</v>
      </c>
      <c r="E801" s="303">
        <f t="shared" ref="E801:G801" si="54">E800</f>
        <v>7.7979797979797976</v>
      </c>
      <c r="F801" s="18">
        <f t="shared" si="54"/>
        <v>32</v>
      </c>
      <c r="G801" s="18">
        <f t="shared" si="54"/>
        <v>7720</v>
      </c>
      <c r="H801" s="241"/>
    </row>
    <row r="802" spans="1:8" ht="15.75" hidden="1" thickBot="1" x14ac:dyDescent="0.3">
      <c r="A802" s="68">
        <v>1</v>
      </c>
      <c r="B802" s="270" t="s">
        <v>10</v>
      </c>
      <c r="C802" s="270"/>
      <c r="D802" s="313"/>
      <c r="E802" s="313"/>
      <c r="F802" s="313"/>
      <c r="G802" s="313"/>
    </row>
    <row r="803" spans="1:8" hidden="1" x14ac:dyDescent="0.25">
      <c r="A803" s="68">
        <v>1</v>
      </c>
      <c r="B803" s="291"/>
      <c r="C803" s="2"/>
      <c r="D803" s="258"/>
      <c r="E803" s="258"/>
      <c r="F803" s="258"/>
      <c r="G803" s="258"/>
    </row>
    <row r="804" spans="1:8" ht="30" hidden="1" customHeight="1" x14ac:dyDescent="0.25">
      <c r="A804" s="68">
        <v>1</v>
      </c>
      <c r="B804" s="62" t="s">
        <v>156</v>
      </c>
      <c r="C804" s="2"/>
      <c r="D804" s="3"/>
      <c r="E804" s="3"/>
      <c r="F804" s="3"/>
      <c r="G804" s="3"/>
    </row>
    <row r="805" spans="1:8" s="46" customFormat="1" ht="18.75" hidden="1" customHeight="1" x14ac:dyDescent="0.25">
      <c r="A805" s="68">
        <v>1</v>
      </c>
      <c r="B805" s="21" t="s">
        <v>205</v>
      </c>
      <c r="C805" s="21"/>
      <c r="D805" s="74"/>
      <c r="E805" s="45"/>
      <c r="F805" s="45"/>
      <c r="G805" s="45"/>
      <c r="H805" s="261"/>
    </row>
    <row r="806" spans="1:8" s="46" customFormat="1" ht="30" hidden="1" x14ac:dyDescent="0.25">
      <c r="A806" s="68">
        <v>1</v>
      </c>
      <c r="B806" s="23" t="s">
        <v>322</v>
      </c>
      <c r="C806" s="47"/>
      <c r="D806" s="45">
        <f>SUM(D807,D808,D809,D810)</f>
        <v>13955</v>
      </c>
      <c r="E806" s="45"/>
      <c r="F806" s="45"/>
      <c r="G806" s="45"/>
      <c r="H806" s="261"/>
    </row>
    <row r="807" spans="1:8" s="46" customFormat="1" hidden="1" x14ac:dyDescent="0.25">
      <c r="A807" s="68">
        <v>1</v>
      </c>
      <c r="B807" s="48" t="s">
        <v>206</v>
      </c>
      <c r="C807" s="47"/>
      <c r="D807" s="45">
        <v>5955</v>
      </c>
      <c r="E807" s="45"/>
      <c r="F807" s="45"/>
      <c r="G807" s="45"/>
      <c r="H807" s="261"/>
    </row>
    <row r="808" spans="1:8" s="46" customFormat="1" ht="17.25" hidden="1" customHeight="1" x14ac:dyDescent="0.25">
      <c r="A808" s="68">
        <v>1</v>
      </c>
      <c r="B808" s="48" t="s">
        <v>207</v>
      </c>
      <c r="C808" s="47"/>
      <c r="D808" s="3"/>
      <c r="E808" s="45"/>
      <c r="F808" s="45"/>
      <c r="G808" s="45"/>
      <c r="H808" s="261"/>
    </row>
    <row r="809" spans="1:8" s="46" customFormat="1" ht="30" hidden="1" x14ac:dyDescent="0.25">
      <c r="A809" s="68">
        <v>1</v>
      </c>
      <c r="B809" s="48" t="s">
        <v>208</v>
      </c>
      <c r="C809" s="47"/>
      <c r="D809" s="3"/>
      <c r="E809" s="45"/>
      <c r="F809" s="45"/>
      <c r="G809" s="45"/>
      <c r="H809" s="261"/>
    </row>
    <row r="810" spans="1:8" s="46" customFormat="1" hidden="1" x14ac:dyDescent="0.25">
      <c r="A810" s="68">
        <v>1</v>
      </c>
      <c r="B810" s="23" t="s">
        <v>209</v>
      </c>
      <c r="C810" s="47"/>
      <c r="D810" s="3">
        <v>8000</v>
      </c>
      <c r="E810" s="45"/>
      <c r="F810" s="45"/>
      <c r="G810" s="45"/>
      <c r="H810" s="261"/>
    </row>
    <row r="811" spans="1:8" hidden="1" x14ac:dyDescent="0.25">
      <c r="A811" s="68">
        <v>1</v>
      </c>
      <c r="B811" s="24" t="s">
        <v>118</v>
      </c>
      <c r="C811" s="22"/>
      <c r="D811" s="3">
        <v>34000</v>
      </c>
      <c r="E811" s="3"/>
      <c r="F811" s="3"/>
      <c r="G811" s="3"/>
    </row>
    <row r="812" spans="1:8" s="46" customFormat="1" hidden="1" x14ac:dyDescent="0.25">
      <c r="A812" s="68">
        <v>1</v>
      </c>
      <c r="B812" s="44" t="s">
        <v>150</v>
      </c>
      <c r="C812" s="262"/>
      <c r="D812" s="3"/>
      <c r="E812" s="45"/>
      <c r="F812" s="45"/>
      <c r="G812" s="45"/>
      <c r="H812" s="261"/>
    </row>
    <row r="813" spans="1:8" s="46" customFormat="1" ht="15.75" hidden="1" customHeight="1" x14ac:dyDescent="0.25">
      <c r="A813" s="68">
        <v>1</v>
      </c>
      <c r="B813" s="49" t="s">
        <v>210</v>
      </c>
      <c r="C813" s="50"/>
      <c r="D813" s="47">
        <f>D806+ROUND(D811*3.2,0)</f>
        <v>122755</v>
      </c>
      <c r="E813" s="51"/>
      <c r="F813" s="51"/>
      <c r="G813" s="56"/>
      <c r="H813" s="261"/>
    </row>
    <row r="814" spans="1:8" s="46" customFormat="1" ht="15.75" hidden="1" customHeight="1" x14ac:dyDescent="0.25">
      <c r="A814" s="68">
        <v>1</v>
      </c>
      <c r="B814" s="21" t="s">
        <v>153</v>
      </c>
      <c r="C814" s="22"/>
      <c r="D814" s="3"/>
      <c r="E814" s="51"/>
      <c r="F814" s="51"/>
      <c r="G814" s="56"/>
      <c r="H814" s="261"/>
    </row>
    <row r="815" spans="1:8" s="46" customFormat="1" ht="30" hidden="1" x14ac:dyDescent="0.25">
      <c r="A815" s="68">
        <v>1</v>
      </c>
      <c r="B815" s="23" t="s">
        <v>322</v>
      </c>
      <c r="C815" s="22"/>
      <c r="D815" s="3">
        <f>SUM(D816,D817,D824,D830,D831,D832)</f>
        <v>59995</v>
      </c>
      <c r="E815" s="51"/>
      <c r="F815" s="51"/>
      <c r="G815" s="56"/>
      <c r="H815" s="261"/>
    </row>
    <row r="816" spans="1:8" s="46" customFormat="1" ht="15.75" hidden="1" customHeight="1" x14ac:dyDescent="0.25">
      <c r="A816" s="68">
        <v>1</v>
      </c>
      <c r="B816" s="23" t="s">
        <v>206</v>
      </c>
      <c r="C816" s="22"/>
      <c r="D816" s="3"/>
      <c r="E816" s="51"/>
      <c r="F816" s="51"/>
      <c r="G816" s="56"/>
      <c r="H816" s="261"/>
    </row>
    <row r="817" spans="1:8" s="46" customFormat="1" ht="15.75" hidden="1" customHeight="1" x14ac:dyDescent="0.25">
      <c r="A817" s="68">
        <v>1</v>
      </c>
      <c r="B817" s="48" t="s">
        <v>211</v>
      </c>
      <c r="C817" s="22"/>
      <c r="D817" s="3">
        <f>D818+D819+D820+D822</f>
        <v>1605</v>
      </c>
      <c r="E817" s="51"/>
      <c r="F817" s="51"/>
      <c r="G817" s="56"/>
      <c r="H817" s="261"/>
    </row>
    <row r="818" spans="1:8" s="46" customFormat="1" ht="19.5" hidden="1" customHeight="1" x14ac:dyDescent="0.25">
      <c r="A818" s="68">
        <v>1</v>
      </c>
      <c r="B818" s="52" t="s">
        <v>212</v>
      </c>
      <c r="C818" s="22"/>
      <c r="D818" s="45"/>
      <c r="E818" s="51"/>
      <c r="F818" s="51"/>
      <c r="G818" s="56"/>
      <c r="H818" s="261"/>
    </row>
    <row r="819" spans="1:8" s="46" customFormat="1" ht="15.75" hidden="1" customHeight="1" x14ac:dyDescent="0.25">
      <c r="A819" s="68">
        <v>1</v>
      </c>
      <c r="B819" s="52" t="s">
        <v>213</v>
      </c>
      <c r="C819" s="22"/>
      <c r="D819" s="45"/>
      <c r="E819" s="51"/>
      <c r="F819" s="51"/>
      <c r="G819" s="56"/>
      <c r="H819" s="261"/>
    </row>
    <row r="820" spans="1:8" s="46" customFormat="1" ht="30.75" hidden="1" customHeight="1" x14ac:dyDescent="0.25">
      <c r="A820" s="68">
        <v>1</v>
      </c>
      <c r="B820" s="52" t="s">
        <v>214</v>
      </c>
      <c r="C820" s="22"/>
      <c r="D820" s="45">
        <v>698</v>
      </c>
      <c r="E820" s="51"/>
      <c r="F820" s="51"/>
      <c r="G820" s="56"/>
      <c r="H820" s="261"/>
    </row>
    <row r="821" spans="1:8" s="46" customFormat="1" hidden="1" x14ac:dyDescent="0.25">
      <c r="A821" s="68">
        <v>1</v>
      </c>
      <c r="B821" s="52" t="s">
        <v>215</v>
      </c>
      <c r="C821" s="22"/>
      <c r="D821" s="45">
        <v>63</v>
      </c>
      <c r="E821" s="51"/>
      <c r="F821" s="51"/>
      <c r="G821" s="56"/>
      <c r="H821" s="261"/>
    </row>
    <row r="822" spans="1:8" s="46" customFormat="1" ht="30" hidden="1" x14ac:dyDescent="0.25">
      <c r="A822" s="68">
        <v>1</v>
      </c>
      <c r="B822" s="52" t="s">
        <v>216</v>
      </c>
      <c r="C822" s="22"/>
      <c r="D822" s="45">
        <v>907</v>
      </c>
      <c r="E822" s="51"/>
      <c r="F822" s="51"/>
      <c r="G822" s="56"/>
      <c r="H822" s="261"/>
    </row>
    <row r="823" spans="1:8" s="46" customFormat="1" hidden="1" x14ac:dyDescent="0.25">
      <c r="A823" s="68">
        <v>1</v>
      </c>
      <c r="B823" s="52" t="s">
        <v>215</v>
      </c>
      <c r="C823" s="22"/>
      <c r="D823" s="76">
        <v>185</v>
      </c>
      <c r="E823" s="51"/>
      <c r="F823" s="51"/>
      <c r="G823" s="56"/>
      <c r="H823" s="261"/>
    </row>
    <row r="824" spans="1:8" s="46" customFormat="1" ht="30" hidden="1" customHeight="1" x14ac:dyDescent="0.25">
      <c r="A824" s="68">
        <v>1</v>
      </c>
      <c r="B824" s="48" t="s">
        <v>217</v>
      </c>
      <c r="C824" s="22"/>
      <c r="D824" s="3">
        <f>SUM(D825,D826,D828)</f>
        <v>58390</v>
      </c>
      <c r="E824" s="51"/>
      <c r="F824" s="51"/>
      <c r="G824" s="56"/>
      <c r="H824" s="261"/>
    </row>
    <row r="825" spans="1:8" s="46" customFormat="1" ht="30" hidden="1" x14ac:dyDescent="0.25">
      <c r="A825" s="68">
        <v>1</v>
      </c>
      <c r="B825" s="52" t="s">
        <v>218</v>
      </c>
      <c r="C825" s="22"/>
      <c r="D825" s="3"/>
      <c r="E825" s="51"/>
      <c r="F825" s="51"/>
      <c r="G825" s="56"/>
      <c r="H825" s="261"/>
    </row>
    <row r="826" spans="1:8" s="46" customFormat="1" ht="45" hidden="1" x14ac:dyDescent="0.25">
      <c r="A826" s="68">
        <v>1</v>
      </c>
      <c r="B826" s="52" t="s">
        <v>219</v>
      </c>
      <c r="C826" s="22"/>
      <c r="D826" s="42">
        <v>56230</v>
      </c>
      <c r="E826" s="51"/>
      <c r="F826" s="51"/>
      <c r="G826" s="56"/>
      <c r="H826" s="261"/>
    </row>
    <row r="827" spans="1:8" s="46" customFormat="1" hidden="1" x14ac:dyDescent="0.25">
      <c r="A827" s="68">
        <v>1</v>
      </c>
      <c r="B827" s="52" t="s">
        <v>215</v>
      </c>
      <c r="C827" s="22"/>
      <c r="D827" s="42">
        <v>15600</v>
      </c>
      <c r="E827" s="51"/>
      <c r="F827" s="51"/>
      <c r="G827" s="56"/>
      <c r="H827" s="261"/>
    </row>
    <row r="828" spans="1:8" s="46" customFormat="1" ht="45" hidden="1" x14ac:dyDescent="0.25">
      <c r="A828" s="68">
        <v>1</v>
      </c>
      <c r="B828" s="52" t="s">
        <v>220</v>
      </c>
      <c r="C828" s="22"/>
      <c r="D828" s="42">
        <v>2160</v>
      </c>
      <c r="E828" s="51"/>
      <c r="F828" s="51"/>
      <c r="G828" s="56"/>
      <c r="H828" s="261"/>
    </row>
    <row r="829" spans="1:8" s="46" customFormat="1" hidden="1" x14ac:dyDescent="0.25">
      <c r="A829" s="68">
        <v>1</v>
      </c>
      <c r="B829" s="52" t="s">
        <v>215</v>
      </c>
      <c r="C829" s="22"/>
      <c r="D829" s="42">
        <v>1530</v>
      </c>
      <c r="E829" s="51"/>
      <c r="F829" s="51"/>
      <c r="G829" s="56"/>
      <c r="H829" s="261"/>
    </row>
    <row r="830" spans="1:8" s="46" customFormat="1" ht="31.5" hidden="1" customHeight="1" x14ac:dyDescent="0.25">
      <c r="A830" s="68">
        <v>1</v>
      </c>
      <c r="B830" s="48" t="s">
        <v>221</v>
      </c>
      <c r="C830" s="22"/>
      <c r="D830" s="3"/>
      <c r="E830" s="51"/>
      <c r="F830" s="51"/>
      <c r="G830" s="56"/>
      <c r="H830" s="261"/>
    </row>
    <row r="831" spans="1:8" s="46" customFormat="1" ht="15.75" hidden="1" customHeight="1" x14ac:dyDescent="0.25">
      <c r="A831" s="68">
        <v>1</v>
      </c>
      <c r="B831" s="48" t="s">
        <v>222</v>
      </c>
      <c r="C831" s="22"/>
      <c r="D831" s="3"/>
      <c r="E831" s="51"/>
      <c r="F831" s="51"/>
      <c r="G831" s="56"/>
      <c r="H831" s="261"/>
    </row>
    <row r="832" spans="1:8" s="46" customFormat="1" ht="15.75" hidden="1" customHeight="1" x14ac:dyDescent="0.25">
      <c r="A832" s="68">
        <v>1</v>
      </c>
      <c r="B832" s="23" t="s">
        <v>223</v>
      </c>
      <c r="C832" s="22"/>
      <c r="D832" s="3"/>
      <c r="E832" s="51"/>
      <c r="F832" s="51"/>
      <c r="G832" s="56"/>
      <c r="H832" s="261"/>
    </row>
    <row r="833" spans="1:8" s="46" customFormat="1" hidden="1" x14ac:dyDescent="0.25">
      <c r="A833" s="68">
        <v>1</v>
      </c>
      <c r="B833" s="24" t="s">
        <v>118</v>
      </c>
      <c r="C833" s="47"/>
      <c r="D833" s="45"/>
      <c r="E833" s="51"/>
      <c r="F833" s="51"/>
      <c r="G833" s="56"/>
      <c r="H833" s="261"/>
    </row>
    <row r="834" spans="1:8" s="46" customFormat="1" hidden="1" x14ac:dyDescent="0.25">
      <c r="A834" s="68">
        <v>1</v>
      </c>
      <c r="B834" s="44" t="s">
        <v>150</v>
      </c>
      <c r="C834" s="47"/>
      <c r="D834" s="76"/>
      <c r="E834" s="51"/>
      <c r="F834" s="51"/>
      <c r="G834" s="56"/>
      <c r="H834" s="261"/>
    </row>
    <row r="835" spans="1:8" ht="30" hidden="1" x14ac:dyDescent="0.25">
      <c r="A835" s="68">
        <v>1</v>
      </c>
      <c r="B835" s="24" t="s">
        <v>119</v>
      </c>
      <c r="C835" s="22"/>
      <c r="D835" s="3">
        <v>22870</v>
      </c>
      <c r="E835" s="3"/>
      <c r="F835" s="3"/>
      <c r="G835" s="3"/>
    </row>
    <row r="836" spans="1:8" s="46" customFormat="1" ht="15.75" hidden="1" customHeight="1" x14ac:dyDescent="0.25">
      <c r="A836" s="68">
        <v>1</v>
      </c>
      <c r="B836" s="24" t="s">
        <v>224</v>
      </c>
      <c r="C836" s="22"/>
      <c r="D836" s="3"/>
      <c r="E836" s="51"/>
      <c r="F836" s="51"/>
      <c r="G836" s="56"/>
      <c r="H836" s="261"/>
    </row>
    <row r="837" spans="1:8" s="46" customFormat="1" hidden="1" x14ac:dyDescent="0.25">
      <c r="A837" s="68">
        <v>1</v>
      </c>
      <c r="B837" s="53"/>
      <c r="C837" s="22"/>
      <c r="D837" s="3"/>
      <c r="E837" s="51"/>
      <c r="F837" s="51"/>
      <c r="G837" s="56"/>
      <c r="H837" s="261"/>
    </row>
    <row r="838" spans="1:8" s="46" customFormat="1" hidden="1" x14ac:dyDescent="0.25">
      <c r="A838" s="68">
        <v>1</v>
      </c>
      <c r="B838" s="54" t="s">
        <v>152</v>
      </c>
      <c r="C838" s="22"/>
      <c r="D838" s="18">
        <f>D815+ROUND(D833*3.2,0)+D835</f>
        <v>82865</v>
      </c>
      <c r="E838" s="51"/>
      <c r="F838" s="51"/>
      <c r="G838" s="56"/>
      <c r="H838" s="261"/>
    </row>
    <row r="839" spans="1:8" s="46" customFormat="1" hidden="1" x14ac:dyDescent="0.25">
      <c r="A839" s="68">
        <v>1</v>
      </c>
      <c r="B839" s="55" t="s">
        <v>151</v>
      </c>
      <c r="C839" s="22"/>
      <c r="D839" s="18">
        <f>SUM(D813,D838)</f>
        <v>205620</v>
      </c>
      <c r="E839" s="51"/>
      <c r="F839" s="51"/>
      <c r="G839" s="56"/>
      <c r="H839" s="261"/>
    </row>
    <row r="840" spans="1:8" hidden="1" x14ac:dyDescent="0.25">
      <c r="A840" s="68">
        <v>1</v>
      </c>
      <c r="B840" s="34" t="s">
        <v>7</v>
      </c>
      <c r="C840" s="307"/>
      <c r="D840" s="307"/>
      <c r="E840" s="3"/>
      <c r="F840" s="3"/>
      <c r="G840" s="3"/>
    </row>
    <row r="841" spans="1:8" hidden="1" x14ac:dyDescent="0.25">
      <c r="A841" s="68">
        <v>1</v>
      </c>
      <c r="B841" s="43" t="s">
        <v>76</v>
      </c>
      <c r="C841" s="307"/>
      <c r="D841" s="307"/>
      <c r="E841" s="3"/>
      <c r="F841" s="3"/>
      <c r="G841" s="3"/>
    </row>
    <row r="842" spans="1:8" s="68" customFormat="1" hidden="1" x14ac:dyDescent="0.25">
      <c r="A842" s="68">
        <v>1</v>
      </c>
      <c r="B842" s="30" t="s">
        <v>26</v>
      </c>
      <c r="C842" s="2">
        <v>240</v>
      </c>
      <c r="D842" s="3">
        <v>1800</v>
      </c>
      <c r="E842" s="60">
        <v>8</v>
      </c>
      <c r="F842" s="3">
        <f>ROUND(G842/C842,0)</f>
        <v>60</v>
      </c>
      <c r="G842" s="3">
        <f>ROUND(D842*E842,0)</f>
        <v>14400</v>
      </c>
      <c r="H842" s="241"/>
    </row>
    <row r="843" spans="1:8" s="68" customFormat="1" ht="18" hidden="1" customHeight="1" x14ac:dyDescent="0.25">
      <c r="A843" s="68">
        <v>1</v>
      </c>
      <c r="B843" s="219" t="s">
        <v>141</v>
      </c>
      <c r="C843" s="2"/>
      <c r="D843" s="35">
        <f>D842</f>
        <v>1800</v>
      </c>
      <c r="E843" s="85">
        <f>E842</f>
        <v>8</v>
      </c>
      <c r="F843" s="35">
        <f t="shared" ref="F843:G843" si="55">F842</f>
        <v>60</v>
      </c>
      <c r="G843" s="35">
        <f t="shared" si="55"/>
        <v>14400</v>
      </c>
      <c r="H843" s="241"/>
    </row>
    <row r="844" spans="1:8" s="68" customFormat="1" ht="18" hidden="1" customHeight="1" x14ac:dyDescent="0.25">
      <c r="A844" s="68">
        <v>1</v>
      </c>
      <c r="B844" s="298" t="s">
        <v>116</v>
      </c>
      <c r="C844" s="2"/>
      <c r="D844" s="294">
        <f t="shared" ref="D844" si="56">D843</f>
        <v>1800</v>
      </c>
      <c r="E844" s="303">
        <f t="shared" ref="E844:G844" si="57">E843</f>
        <v>8</v>
      </c>
      <c r="F844" s="294">
        <f t="shared" si="57"/>
        <v>60</v>
      </c>
      <c r="G844" s="294">
        <f t="shared" si="57"/>
        <v>14400</v>
      </c>
      <c r="H844" s="241"/>
    </row>
    <row r="845" spans="1:8" ht="15.75" hidden="1" thickBot="1" x14ac:dyDescent="0.3">
      <c r="A845" s="68">
        <v>1</v>
      </c>
      <c r="B845" s="270" t="s">
        <v>10</v>
      </c>
      <c r="C845" s="270"/>
      <c r="D845" s="311"/>
      <c r="E845" s="311"/>
      <c r="F845" s="311"/>
      <c r="G845" s="311"/>
    </row>
    <row r="846" spans="1:8" hidden="1" x14ac:dyDescent="0.25">
      <c r="A846" s="68">
        <v>1</v>
      </c>
      <c r="B846" s="89"/>
      <c r="C846" s="240"/>
      <c r="D846" s="258"/>
      <c r="E846" s="258"/>
      <c r="F846" s="258"/>
      <c r="G846" s="258"/>
    </row>
    <row r="847" spans="1:8" hidden="1" x14ac:dyDescent="0.25">
      <c r="A847" s="68">
        <v>1</v>
      </c>
      <c r="B847" s="242" t="s">
        <v>157</v>
      </c>
      <c r="C847" s="2"/>
      <c r="D847" s="3"/>
      <c r="E847" s="3"/>
      <c r="F847" s="3"/>
      <c r="G847" s="3"/>
    </row>
    <row r="848" spans="1:8" s="46" customFormat="1" ht="18.75" hidden="1" customHeight="1" x14ac:dyDescent="0.25">
      <c r="A848" s="68">
        <v>1</v>
      </c>
      <c r="B848" s="21" t="s">
        <v>205</v>
      </c>
      <c r="C848" s="21"/>
      <c r="D848" s="74"/>
      <c r="E848" s="45"/>
      <c r="F848" s="45"/>
      <c r="G848" s="45"/>
      <c r="H848" s="261"/>
    </row>
    <row r="849" spans="1:8" s="46" customFormat="1" ht="30" hidden="1" x14ac:dyDescent="0.25">
      <c r="A849" s="68">
        <v>1</v>
      </c>
      <c r="B849" s="23" t="s">
        <v>322</v>
      </c>
      <c r="C849" s="47"/>
      <c r="D849" s="45">
        <f>SUM(D850,D851,D852,D853)</f>
        <v>16250</v>
      </c>
      <c r="E849" s="45"/>
      <c r="F849" s="45"/>
      <c r="G849" s="45"/>
      <c r="H849" s="261"/>
    </row>
    <row r="850" spans="1:8" s="46" customFormat="1" hidden="1" x14ac:dyDescent="0.25">
      <c r="A850" s="68">
        <v>1</v>
      </c>
      <c r="B850" s="48" t="s">
        <v>206</v>
      </c>
      <c r="C850" s="47"/>
      <c r="D850" s="45"/>
      <c r="E850" s="45"/>
      <c r="F850" s="45"/>
      <c r="G850" s="45"/>
      <c r="H850" s="261"/>
    </row>
    <row r="851" spans="1:8" s="46" customFormat="1" ht="17.25" hidden="1" customHeight="1" x14ac:dyDescent="0.25">
      <c r="A851" s="68">
        <v>1</v>
      </c>
      <c r="B851" s="48" t="s">
        <v>207</v>
      </c>
      <c r="C851" s="47"/>
      <c r="D851" s="3">
        <v>3000</v>
      </c>
      <c r="E851" s="45"/>
      <c r="F851" s="45"/>
      <c r="G851" s="45"/>
      <c r="H851" s="261"/>
    </row>
    <row r="852" spans="1:8" s="46" customFormat="1" ht="30" hidden="1" x14ac:dyDescent="0.25">
      <c r="A852" s="68">
        <v>1</v>
      </c>
      <c r="B852" s="48" t="s">
        <v>208</v>
      </c>
      <c r="C852" s="47"/>
      <c r="D852" s="3">
        <v>650</v>
      </c>
      <c r="E852" s="45"/>
      <c r="F852" s="45"/>
      <c r="G852" s="45"/>
      <c r="H852" s="261"/>
    </row>
    <row r="853" spans="1:8" s="46" customFormat="1" hidden="1" x14ac:dyDescent="0.25">
      <c r="A853" s="68">
        <v>1</v>
      </c>
      <c r="B853" s="23" t="s">
        <v>209</v>
      </c>
      <c r="C853" s="47"/>
      <c r="D853" s="3">
        <v>12600</v>
      </c>
      <c r="E853" s="45"/>
      <c r="F853" s="45"/>
      <c r="G853" s="45"/>
      <c r="H853" s="261"/>
    </row>
    <row r="854" spans="1:8" hidden="1" x14ac:dyDescent="0.25">
      <c r="A854" s="68">
        <v>1</v>
      </c>
      <c r="B854" s="24" t="s">
        <v>118</v>
      </c>
      <c r="C854" s="22"/>
      <c r="D854" s="3">
        <v>35000</v>
      </c>
      <c r="E854" s="3"/>
      <c r="F854" s="3"/>
      <c r="G854" s="3"/>
    </row>
    <row r="855" spans="1:8" s="46" customFormat="1" hidden="1" x14ac:dyDescent="0.25">
      <c r="A855" s="68">
        <v>1</v>
      </c>
      <c r="B855" s="44" t="s">
        <v>150</v>
      </c>
      <c r="C855" s="262"/>
      <c r="D855" s="3"/>
      <c r="E855" s="45"/>
      <c r="F855" s="45"/>
      <c r="G855" s="45"/>
      <c r="H855" s="261"/>
    </row>
    <row r="856" spans="1:8" s="46" customFormat="1" ht="15.75" hidden="1" customHeight="1" x14ac:dyDescent="0.25">
      <c r="A856" s="68">
        <v>1</v>
      </c>
      <c r="B856" s="49" t="s">
        <v>210</v>
      </c>
      <c r="C856" s="50"/>
      <c r="D856" s="47">
        <f>D849+ROUND(D854*3.2,0)</f>
        <v>128250</v>
      </c>
      <c r="E856" s="51"/>
      <c r="F856" s="51"/>
      <c r="G856" s="56"/>
      <c r="H856" s="261"/>
    </row>
    <row r="857" spans="1:8" s="46" customFormat="1" ht="15.75" hidden="1" customHeight="1" x14ac:dyDescent="0.25">
      <c r="A857" s="68">
        <v>1</v>
      </c>
      <c r="B857" s="21" t="s">
        <v>153</v>
      </c>
      <c r="C857" s="22"/>
      <c r="D857" s="3"/>
      <c r="E857" s="51"/>
      <c r="F857" s="51"/>
      <c r="G857" s="56"/>
      <c r="H857" s="261"/>
    </row>
    <row r="858" spans="1:8" s="46" customFormat="1" ht="30" hidden="1" x14ac:dyDescent="0.25">
      <c r="A858" s="68">
        <v>1</v>
      </c>
      <c r="B858" s="23" t="s">
        <v>322</v>
      </c>
      <c r="C858" s="22"/>
      <c r="D858" s="3">
        <f>SUM(D859,D860,D867,D873,D874,D875)</f>
        <v>55668</v>
      </c>
      <c r="E858" s="51"/>
      <c r="F858" s="51"/>
      <c r="G858" s="56"/>
      <c r="H858" s="261"/>
    </row>
    <row r="859" spans="1:8" s="46" customFormat="1" ht="15.75" hidden="1" customHeight="1" x14ac:dyDescent="0.25">
      <c r="A859" s="68">
        <v>1</v>
      </c>
      <c r="B859" s="23" t="s">
        <v>206</v>
      </c>
      <c r="C859" s="22"/>
      <c r="D859" s="3"/>
      <c r="E859" s="51"/>
      <c r="F859" s="51"/>
      <c r="G859" s="56"/>
      <c r="H859" s="261"/>
    </row>
    <row r="860" spans="1:8" s="46" customFormat="1" ht="15.75" hidden="1" customHeight="1" x14ac:dyDescent="0.25">
      <c r="A860" s="68">
        <v>1</v>
      </c>
      <c r="B860" s="48" t="s">
        <v>211</v>
      </c>
      <c r="C860" s="22"/>
      <c r="D860" s="3">
        <f>D861+D862+D863+D865</f>
        <v>882</v>
      </c>
      <c r="E860" s="51"/>
      <c r="F860" s="51"/>
      <c r="G860" s="56"/>
      <c r="H860" s="261"/>
    </row>
    <row r="861" spans="1:8" s="46" customFormat="1" ht="19.5" hidden="1" customHeight="1" x14ac:dyDescent="0.25">
      <c r="A861" s="68">
        <v>1</v>
      </c>
      <c r="B861" s="52" t="s">
        <v>212</v>
      </c>
      <c r="C861" s="22"/>
      <c r="D861" s="45"/>
      <c r="E861" s="51"/>
      <c r="F861" s="51"/>
      <c r="G861" s="56"/>
      <c r="H861" s="261"/>
    </row>
    <row r="862" spans="1:8" s="46" customFormat="1" ht="15.75" hidden="1" customHeight="1" x14ac:dyDescent="0.25">
      <c r="A862" s="68">
        <v>1</v>
      </c>
      <c r="B862" s="52" t="s">
        <v>213</v>
      </c>
      <c r="C862" s="22"/>
      <c r="D862" s="45"/>
      <c r="E862" s="51"/>
      <c r="F862" s="51"/>
      <c r="G862" s="56"/>
      <c r="H862" s="261"/>
    </row>
    <row r="863" spans="1:8" s="46" customFormat="1" ht="30.75" hidden="1" customHeight="1" x14ac:dyDescent="0.25">
      <c r="A863" s="68">
        <v>1</v>
      </c>
      <c r="B863" s="52" t="s">
        <v>214</v>
      </c>
      <c r="C863" s="22"/>
      <c r="D863" s="45">
        <v>271</v>
      </c>
      <c r="E863" s="51"/>
      <c r="F863" s="51"/>
      <c r="G863" s="56"/>
      <c r="H863" s="261"/>
    </row>
    <row r="864" spans="1:8" s="46" customFormat="1" hidden="1" x14ac:dyDescent="0.25">
      <c r="A864" s="68">
        <v>1</v>
      </c>
      <c r="B864" s="52" t="s">
        <v>215</v>
      </c>
      <c r="C864" s="22"/>
      <c r="D864" s="45">
        <v>29</v>
      </c>
      <c r="E864" s="51"/>
      <c r="F864" s="51"/>
      <c r="G864" s="56"/>
      <c r="H864" s="261"/>
    </row>
    <row r="865" spans="1:8" s="46" customFormat="1" ht="30" hidden="1" x14ac:dyDescent="0.25">
      <c r="A865" s="68">
        <v>1</v>
      </c>
      <c r="B865" s="52" t="s">
        <v>216</v>
      </c>
      <c r="C865" s="22"/>
      <c r="D865" s="45">
        <v>611</v>
      </c>
      <c r="E865" s="51"/>
      <c r="F865" s="51"/>
      <c r="G865" s="56"/>
      <c r="H865" s="261"/>
    </row>
    <row r="866" spans="1:8" s="46" customFormat="1" hidden="1" x14ac:dyDescent="0.25">
      <c r="A866" s="68">
        <v>1</v>
      </c>
      <c r="B866" s="52" t="s">
        <v>215</v>
      </c>
      <c r="C866" s="22"/>
      <c r="D866" s="76">
        <v>84</v>
      </c>
      <c r="E866" s="51"/>
      <c r="F866" s="51"/>
      <c r="G866" s="56"/>
      <c r="H866" s="261"/>
    </row>
    <row r="867" spans="1:8" s="46" customFormat="1" ht="30" hidden="1" customHeight="1" x14ac:dyDescent="0.25">
      <c r="A867" s="68">
        <v>1</v>
      </c>
      <c r="B867" s="48" t="s">
        <v>217</v>
      </c>
      <c r="C867" s="22"/>
      <c r="D867" s="3">
        <f>SUM(D868,D869,D871)</f>
        <v>54786</v>
      </c>
      <c r="E867" s="51"/>
      <c r="F867" s="51"/>
      <c r="G867" s="56"/>
      <c r="H867" s="261"/>
    </row>
    <row r="868" spans="1:8" s="46" customFormat="1" ht="30" hidden="1" x14ac:dyDescent="0.25">
      <c r="A868" s="68">
        <v>1</v>
      </c>
      <c r="B868" s="52" t="s">
        <v>218</v>
      </c>
      <c r="C868" s="22"/>
      <c r="D868" s="3"/>
      <c r="E868" s="51"/>
      <c r="F868" s="51"/>
      <c r="G868" s="56"/>
      <c r="H868" s="261"/>
    </row>
    <row r="869" spans="1:8" s="46" customFormat="1" ht="45" hidden="1" x14ac:dyDescent="0.25">
      <c r="A869" s="68">
        <v>1</v>
      </c>
      <c r="B869" s="52" t="s">
        <v>219</v>
      </c>
      <c r="C869" s="22"/>
      <c r="D869" s="42">
        <v>50898</v>
      </c>
      <c r="E869" s="51"/>
      <c r="F869" s="51"/>
      <c r="G869" s="56"/>
      <c r="H869" s="261"/>
    </row>
    <row r="870" spans="1:8" s="46" customFormat="1" hidden="1" x14ac:dyDescent="0.25">
      <c r="A870" s="68">
        <v>1</v>
      </c>
      <c r="B870" s="52" t="s">
        <v>215</v>
      </c>
      <c r="C870" s="22"/>
      <c r="D870" s="42">
        <v>15500</v>
      </c>
      <c r="E870" s="51"/>
      <c r="F870" s="51"/>
      <c r="G870" s="56"/>
      <c r="H870" s="261"/>
    </row>
    <row r="871" spans="1:8" s="46" customFormat="1" ht="45" hidden="1" x14ac:dyDescent="0.25">
      <c r="A871" s="68">
        <v>1</v>
      </c>
      <c r="B871" s="52" t="s">
        <v>220</v>
      </c>
      <c r="C871" s="22"/>
      <c r="D871" s="42">
        <v>3888</v>
      </c>
      <c r="E871" s="51"/>
      <c r="F871" s="51"/>
      <c r="G871" s="56"/>
      <c r="H871" s="261"/>
    </row>
    <row r="872" spans="1:8" s="46" customFormat="1" hidden="1" x14ac:dyDescent="0.25">
      <c r="A872" s="68">
        <v>1</v>
      </c>
      <c r="B872" s="52" t="s">
        <v>215</v>
      </c>
      <c r="C872" s="22"/>
      <c r="D872" s="42">
        <v>2400</v>
      </c>
      <c r="E872" s="51"/>
      <c r="F872" s="51"/>
      <c r="G872" s="56"/>
      <c r="H872" s="261"/>
    </row>
    <row r="873" spans="1:8" s="46" customFormat="1" ht="31.5" hidden="1" customHeight="1" x14ac:dyDescent="0.25">
      <c r="A873" s="68">
        <v>1</v>
      </c>
      <c r="B873" s="48" t="s">
        <v>221</v>
      </c>
      <c r="C873" s="22"/>
      <c r="D873" s="3"/>
      <c r="E873" s="51"/>
      <c r="F873" s="51"/>
      <c r="G873" s="56"/>
      <c r="H873" s="261"/>
    </row>
    <row r="874" spans="1:8" s="46" customFormat="1" ht="15.75" hidden="1" customHeight="1" x14ac:dyDescent="0.25">
      <c r="A874" s="68">
        <v>1</v>
      </c>
      <c r="B874" s="48" t="s">
        <v>222</v>
      </c>
      <c r="C874" s="22"/>
      <c r="D874" s="3"/>
      <c r="E874" s="51"/>
      <c r="F874" s="51"/>
      <c r="G874" s="56"/>
      <c r="H874" s="261"/>
    </row>
    <row r="875" spans="1:8" s="46" customFormat="1" ht="15.75" hidden="1" customHeight="1" x14ac:dyDescent="0.25">
      <c r="A875" s="68">
        <v>1</v>
      </c>
      <c r="B875" s="23" t="s">
        <v>223</v>
      </c>
      <c r="C875" s="22"/>
      <c r="D875" s="3"/>
      <c r="E875" s="51"/>
      <c r="F875" s="51"/>
      <c r="G875" s="56"/>
      <c r="H875" s="261"/>
    </row>
    <row r="876" spans="1:8" s="46" customFormat="1" hidden="1" x14ac:dyDescent="0.25">
      <c r="A876" s="68">
        <v>1</v>
      </c>
      <c r="B876" s="24" t="s">
        <v>118</v>
      </c>
      <c r="C876" s="47"/>
      <c r="D876" s="45"/>
      <c r="E876" s="51"/>
      <c r="F876" s="51"/>
      <c r="G876" s="56"/>
      <c r="H876" s="261"/>
    </row>
    <row r="877" spans="1:8" s="46" customFormat="1" hidden="1" x14ac:dyDescent="0.25">
      <c r="A877" s="68">
        <v>1</v>
      </c>
      <c r="B877" s="44" t="s">
        <v>150</v>
      </c>
      <c r="C877" s="47"/>
      <c r="D877" s="76"/>
      <c r="E877" s="51"/>
      <c r="F877" s="51"/>
      <c r="G877" s="56"/>
      <c r="H877" s="261"/>
    </row>
    <row r="878" spans="1:8" ht="30" hidden="1" x14ac:dyDescent="0.25">
      <c r="A878" s="68">
        <v>1</v>
      </c>
      <c r="B878" s="24" t="s">
        <v>119</v>
      </c>
      <c r="C878" s="22"/>
      <c r="D878" s="3">
        <v>13730</v>
      </c>
      <c r="E878" s="3"/>
      <c r="F878" s="3"/>
      <c r="G878" s="3"/>
    </row>
    <row r="879" spans="1:8" s="46" customFormat="1" ht="15.75" hidden="1" customHeight="1" x14ac:dyDescent="0.25">
      <c r="A879" s="68">
        <v>1</v>
      </c>
      <c r="B879" s="24" t="s">
        <v>224</v>
      </c>
      <c r="C879" s="22"/>
      <c r="D879" s="3"/>
      <c r="E879" s="51"/>
      <c r="F879" s="51"/>
      <c r="G879" s="56"/>
      <c r="H879" s="261"/>
    </row>
    <row r="880" spans="1:8" s="46" customFormat="1" hidden="1" x14ac:dyDescent="0.25">
      <c r="A880" s="68">
        <v>1</v>
      </c>
      <c r="B880" s="53"/>
      <c r="C880" s="22"/>
      <c r="D880" s="3"/>
      <c r="E880" s="51"/>
      <c r="F880" s="51"/>
      <c r="G880" s="56"/>
      <c r="H880" s="261"/>
    </row>
    <row r="881" spans="1:8" s="46" customFormat="1" hidden="1" x14ac:dyDescent="0.25">
      <c r="A881" s="68">
        <v>1</v>
      </c>
      <c r="B881" s="54" t="s">
        <v>152</v>
      </c>
      <c r="C881" s="22"/>
      <c r="D881" s="18">
        <f>D858+ROUND(D876*3.2,0)+D878</f>
        <v>69398</v>
      </c>
      <c r="E881" s="51"/>
      <c r="F881" s="51"/>
      <c r="G881" s="56"/>
      <c r="H881" s="261"/>
    </row>
    <row r="882" spans="1:8" s="46" customFormat="1" hidden="1" x14ac:dyDescent="0.25">
      <c r="A882" s="68">
        <v>1</v>
      </c>
      <c r="B882" s="55" t="s">
        <v>151</v>
      </c>
      <c r="C882" s="22"/>
      <c r="D882" s="18">
        <f>SUM(D856,D881)</f>
        <v>197648</v>
      </c>
      <c r="E882" s="51"/>
      <c r="F882" s="51"/>
      <c r="G882" s="56"/>
      <c r="H882" s="261"/>
    </row>
    <row r="883" spans="1:8" hidden="1" x14ac:dyDescent="0.25">
      <c r="A883" s="68">
        <v>1</v>
      </c>
      <c r="B883" s="34" t="s">
        <v>7</v>
      </c>
      <c r="C883" s="307"/>
      <c r="D883" s="307"/>
      <c r="E883" s="3"/>
      <c r="F883" s="3"/>
      <c r="G883" s="3"/>
    </row>
    <row r="884" spans="1:8" hidden="1" x14ac:dyDescent="0.25">
      <c r="A884" s="68">
        <v>1</v>
      </c>
      <c r="B884" s="43" t="s">
        <v>76</v>
      </c>
      <c r="C884" s="307"/>
      <c r="D884" s="307"/>
      <c r="E884" s="3"/>
      <c r="F884" s="3"/>
      <c r="G884" s="3"/>
    </row>
    <row r="885" spans="1:8" hidden="1" x14ac:dyDescent="0.25">
      <c r="A885" s="68"/>
      <c r="B885" s="314" t="s">
        <v>305</v>
      </c>
      <c r="C885" s="307">
        <v>240</v>
      </c>
      <c r="D885" s="307">
        <v>57</v>
      </c>
      <c r="E885" s="3">
        <v>1</v>
      </c>
      <c r="F885" s="3">
        <f>ROUND(G885/C885,0)</f>
        <v>0</v>
      </c>
      <c r="G885" s="3">
        <f>ROUND(D885*E885,0)</f>
        <v>57</v>
      </c>
    </row>
    <row r="886" spans="1:8" hidden="1" x14ac:dyDescent="0.25">
      <c r="A886" s="68">
        <v>1</v>
      </c>
      <c r="B886" s="30" t="s">
        <v>26</v>
      </c>
      <c r="C886" s="2">
        <v>240</v>
      </c>
      <c r="D886" s="3">
        <v>715</v>
      </c>
      <c r="E886" s="60">
        <v>8</v>
      </c>
      <c r="F886" s="3">
        <f>ROUND(G886/C886,0)</f>
        <v>24</v>
      </c>
      <c r="G886" s="3">
        <f>ROUND(D886*E886,0)</f>
        <v>5720</v>
      </c>
    </row>
    <row r="887" spans="1:8" ht="17.25" hidden="1" customHeight="1" x14ac:dyDescent="0.25">
      <c r="A887" s="68">
        <v>1</v>
      </c>
      <c r="B887" s="219" t="s">
        <v>141</v>
      </c>
      <c r="C887" s="2"/>
      <c r="D887" s="35">
        <f>SUM(D885:D886)</f>
        <v>772</v>
      </c>
      <c r="E887" s="85">
        <f t="shared" ref="E887:G888" si="58">E886</f>
        <v>8</v>
      </c>
      <c r="F887" s="35">
        <f t="shared" ref="F887:G887" si="59">SUM(F885:F886)</f>
        <v>24</v>
      </c>
      <c r="G887" s="35">
        <f t="shared" si="59"/>
        <v>5777</v>
      </c>
    </row>
    <row r="888" spans="1:8" ht="17.25" hidden="1" customHeight="1" x14ac:dyDescent="0.25">
      <c r="A888" s="68">
        <v>1</v>
      </c>
      <c r="B888" s="298" t="s">
        <v>116</v>
      </c>
      <c r="C888" s="2"/>
      <c r="D888" s="294">
        <f t="shared" ref="D888" si="60">D887</f>
        <v>772</v>
      </c>
      <c r="E888" s="303">
        <f t="shared" si="58"/>
        <v>8</v>
      </c>
      <c r="F888" s="294">
        <f t="shared" si="58"/>
        <v>24</v>
      </c>
      <c r="G888" s="294">
        <f t="shared" si="58"/>
        <v>5777</v>
      </c>
    </row>
    <row r="889" spans="1:8" s="68" customFormat="1" hidden="1" thickBot="1" x14ac:dyDescent="0.25">
      <c r="A889" s="68">
        <v>1</v>
      </c>
      <c r="B889" s="270" t="s">
        <v>10</v>
      </c>
      <c r="C889" s="270"/>
      <c r="D889" s="315"/>
      <c r="E889" s="315"/>
      <c r="F889" s="315"/>
      <c r="G889" s="315"/>
      <c r="H889" s="241"/>
    </row>
    <row r="890" spans="1:8" x14ac:dyDescent="0.25">
      <c r="A890" s="68">
        <v>1</v>
      </c>
      <c r="B890" s="291"/>
      <c r="C890" s="292"/>
      <c r="D890" s="258"/>
      <c r="E890" s="258"/>
      <c r="F890" s="258"/>
      <c r="G890" s="258"/>
    </row>
    <row r="891" spans="1:8" x14ac:dyDescent="0.25">
      <c r="A891" s="68">
        <v>1</v>
      </c>
      <c r="B891" s="242" t="s">
        <v>158</v>
      </c>
      <c r="C891" s="2"/>
      <c r="D891" s="3"/>
      <c r="E891" s="3"/>
      <c r="F891" s="3"/>
      <c r="G891" s="3"/>
    </row>
    <row r="892" spans="1:8" s="68" customFormat="1" x14ac:dyDescent="0.25">
      <c r="A892" s="68">
        <v>1</v>
      </c>
      <c r="B892" s="21" t="s">
        <v>185</v>
      </c>
      <c r="C892" s="22"/>
      <c r="D892" s="3"/>
      <c r="E892" s="3"/>
      <c r="F892" s="3"/>
      <c r="G892" s="3"/>
      <c r="H892" s="241"/>
    </row>
    <row r="893" spans="1:8" s="68" customFormat="1" ht="30" x14ac:dyDescent="0.25">
      <c r="A893" s="68">
        <v>1</v>
      </c>
      <c r="B893" s="23" t="s">
        <v>322</v>
      </c>
      <c r="C893" s="22"/>
      <c r="D893" s="3">
        <f>D894/2.7</f>
        <v>9199.2592592592591</v>
      </c>
      <c r="E893" s="3"/>
      <c r="F893" s="3"/>
      <c r="G893" s="3"/>
      <c r="H893" s="241"/>
    </row>
    <row r="894" spans="1:8" s="68" customFormat="1" x14ac:dyDescent="0.25">
      <c r="A894" s="68">
        <v>1</v>
      </c>
      <c r="B894" s="23" t="s">
        <v>286</v>
      </c>
      <c r="C894" s="28"/>
      <c r="D894" s="3">
        <f>24082+756</f>
        <v>24838</v>
      </c>
      <c r="E894" s="28"/>
      <c r="F894" s="28"/>
      <c r="G894" s="28"/>
      <c r="H894" s="241"/>
    </row>
    <row r="895" spans="1:8" s="68" customFormat="1" x14ac:dyDescent="0.25">
      <c r="A895" s="68">
        <v>1</v>
      </c>
      <c r="B895" s="24" t="s">
        <v>118</v>
      </c>
      <c r="C895" s="22"/>
      <c r="D895" s="3">
        <f>(D896+D897)/8.5</f>
        <v>29563.294117647059</v>
      </c>
      <c r="E895" s="3"/>
      <c r="F895" s="3"/>
      <c r="G895" s="3"/>
      <c r="H895" s="241"/>
    </row>
    <row r="896" spans="1:8" s="68" customFormat="1" x14ac:dyDescent="0.25">
      <c r="A896" s="68">
        <v>1</v>
      </c>
      <c r="B896" s="309" t="s">
        <v>262</v>
      </c>
      <c r="C896" s="22"/>
      <c r="D896" s="3">
        <f>241000+4288</f>
        <v>245288</v>
      </c>
      <c r="E896" s="3"/>
      <c r="F896" s="3"/>
      <c r="G896" s="3"/>
      <c r="H896" s="241"/>
    </row>
    <row r="897" spans="1:8" s="68" customFormat="1" x14ac:dyDescent="0.25">
      <c r="A897" s="68">
        <v>1</v>
      </c>
      <c r="B897" s="309" t="s">
        <v>263</v>
      </c>
      <c r="C897" s="22"/>
      <c r="D897" s="3">
        <v>6000</v>
      </c>
      <c r="E897" s="3"/>
      <c r="F897" s="3"/>
      <c r="G897" s="3"/>
      <c r="H897" s="241"/>
    </row>
    <row r="898" spans="1:8" s="68" customFormat="1" ht="30" x14ac:dyDescent="0.25">
      <c r="A898" s="68">
        <v>1</v>
      </c>
      <c r="B898" s="24" t="s">
        <v>119</v>
      </c>
      <c r="C898" s="22"/>
      <c r="D898" s="3"/>
      <c r="E898" s="3"/>
      <c r="F898" s="3"/>
      <c r="G898" s="3"/>
      <c r="H898" s="241"/>
    </row>
    <row r="899" spans="1:8" s="68" customFormat="1" x14ac:dyDescent="0.25">
      <c r="A899" s="68">
        <v>1</v>
      </c>
      <c r="B899" s="212" t="s">
        <v>151</v>
      </c>
      <c r="C899" s="22"/>
      <c r="D899" s="18">
        <f>D893+ROUND((D896+D897)/3.9,0)+D898</f>
        <v>73632.259259259255</v>
      </c>
      <c r="E899" s="3"/>
      <c r="F899" s="3"/>
      <c r="G899" s="3"/>
      <c r="H899" s="241"/>
    </row>
    <row r="900" spans="1:8" ht="15.75" thickBot="1" x14ac:dyDescent="0.3">
      <c r="A900" s="68">
        <v>1</v>
      </c>
      <c r="B900" s="316" t="s">
        <v>10</v>
      </c>
      <c r="C900" s="271"/>
      <c r="D900" s="271"/>
      <c r="E900" s="271"/>
      <c r="F900" s="271"/>
      <c r="G900" s="271"/>
    </row>
    <row r="901" spans="1:8" x14ac:dyDescent="0.25">
      <c r="A901" s="68">
        <v>1</v>
      </c>
      <c r="B901" s="291"/>
      <c r="C901" s="292"/>
      <c r="D901" s="258"/>
      <c r="E901" s="258"/>
      <c r="F901" s="258"/>
      <c r="G901" s="258"/>
    </row>
    <row r="902" spans="1:8" hidden="1" x14ac:dyDescent="0.25">
      <c r="A902" s="68">
        <v>1</v>
      </c>
      <c r="B902" s="242" t="s">
        <v>159</v>
      </c>
      <c r="C902" s="2"/>
      <c r="D902" s="3"/>
      <c r="E902" s="3"/>
      <c r="F902" s="3"/>
      <c r="G902" s="3"/>
    </row>
    <row r="903" spans="1:8" s="46" customFormat="1" ht="18.75" hidden="1" customHeight="1" x14ac:dyDescent="0.25">
      <c r="A903" s="68">
        <v>1</v>
      </c>
      <c r="B903" s="21" t="s">
        <v>205</v>
      </c>
      <c r="C903" s="21"/>
      <c r="D903" s="74"/>
      <c r="E903" s="45"/>
      <c r="F903" s="45"/>
      <c r="G903" s="45"/>
      <c r="H903" s="261"/>
    </row>
    <row r="904" spans="1:8" s="46" customFormat="1" ht="30" hidden="1" x14ac:dyDescent="0.25">
      <c r="A904" s="68">
        <v>1</v>
      </c>
      <c r="B904" s="23" t="s">
        <v>322</v>
      </c>
      <c r="C904" s="47"/>
      <c r="D904" s="45">
        <f>SUM(D905,D906,D907,D908)</f>
        <v>14000</v>
      </c>
      <c r="E904" s="45"/>
      <c r="F904" s="45"/>
      <c r="G904" s="45"/>
      <c r="H904" s="261"/>
    </row>
    <row r="905" spans="1:8" s="46" customFormat="1" hidden="1" x14ac:dyDescent="0.25">
      <c r="A905" s="68">
        <v>1</v>
      </c>
      <c r="B905" s="48" t="s">
        <v>206</v>
      </c>
      <c r="C905" s="47"/>
      <c r="D905" s="45"/>
      <c r="E905" s="45"/>
      <c r="F905" s="45"/>
      <c r="G905" s="45"/>
      <c r="H905" s="261"/>
    </row>
    <row r="906" spans="1:8" s="46" customFormat="1" ht="17.25" hidden="1" customHeight="1" x14ac:dyDescent="0.25">
      <c r="A906" s="68">
        <v>1</v>
      </c>
      <c r="B906" s="48" t="s">
        <v>207</v>
      </c>
      <c r="C906" s="47"/>
      <c r="D906" s="3">
        <v>2000</v>
      </c>
      <c r="E906" s="45"/>
      <c r="F906" s="45"/>
      <c r="G906" s="45"/>
      <c r="H906" s="261"/>
    </row>
    <row r="907" spans="1:8" s="46" customFormat="1" ht="30" hidden="1" x14ac:dyDescent="0.25">
      <c r="A907" s="68">
        <v>1</v>
      </c>
      <c r="B907" s="48" t="s">
        <v>208</v>
      </c>
      <c r="C907" s="47"/>
      <c r="D907" s="3">
        <v>500</v>
      </c>
      <c r="E907" s="45"/>
      <c r="F907" s="45"/>
      <c r="G907" s="45"/>
      <c r="H907" s="261"/>
    </row>
    <row r="908" spans="1:8" s="46" customFormat="1" hidden="1" x14ac:dyDescent="0.25">
      <c r="A908" s="68">
        <v>1</v>
      </c>
      <c r="B908" s="23" t="s">
        <v>209</v>
      </c>
      <c r="C908" s="47"/>
      <c r="D908" s="3">
        <v>11500</v>
      </c>
      <c r="E908" s="45"/>
      <c r="F908" s="45"/>
      <c r="G908" s="45"/>
      <c r="H908" s="261"/>
    </row>
    <row r="909" spans="1:8" hidden="1" x14ac:dyDescent="0.25">
      <c r="A909" s="68">
        <v>1</v>
      </c>
      <c r="B909" s="24" t="s">
        <v>118</v>
      </c>
      <c r="C909" s="22"/>
      <c r="D909" s="3">
        <v>30000</v>
      </c>
      <c r="E909" s="3"/>
      <c r="F909" s="3"/>
      <c r="G909" s="3"/>
    </row>
    <row r="910" spans="1:8" s="46" customFormat="1" hidden="1" x14ac:dyDescent="0.25">
      <c r="A910" s="68">
        <v>1</v>
      </c>
      <c r="B910" s="44" t="s">
        <v>150</v>
      </c>
      <c r="C910" s="262"/>
      <c r="D910" s="3"/>
      <c r="E910" s="45"/>
      <c r="F910" s="45"/>
      <c r="G910" s="45"/>
      <c r="H910" s="261"/>
    </row>
    <row r="911" spans="1:8" s="46" customFormat="1" ht="15.75" hidden="1" customHeight="1" x14ac:dyDescent="0.25">
      <c r="A911" s="68">
        <v>1</v>
      </c>
      <c r="B911" s="49" t="s">
        <v>210</v>
      </c>
      <c r="C911" s="50"/>
      <c r="D911" s="47">
        <f>D904+ROUND(D909*3.2,0)</f>
        <v>110000</v>
      </c>
      <c r="E911" s="51"/>
      <c r="F911" s="51"/>
      <c r="G911" s="56"/>
      <c r="H911" s="261"/>
    </row>
    <row r="912" spans="1:8" s="46" customFormat="1" ht="15.75" hidden="1" customHeight="1" x14ac:dyDescent="0.25">
      <c r="A912" s="68">
        <v>1</v>
      </c>
      <c r="B912" s="21" t="s">
        <v>153</v>
      </c>
      <c r="C912" s="22"/>
      <c r="D912" s="3"/>
      <c r="E912" s="51"/>
      <c r="F912" s="51"/>
      <c r="G912" s="56"/>
      <c r="H912" s="261"/>
    </row>
    <row r="913" spans="1:8" s="46" customFormat="1" ht="30" hidden="1" x14ac:dyDescent="0.25">
      <c r="A913" s="68">
        <v>1</v>
      </c>
      <c r="B913" s="23" t="s">
        <v>322</v>
      </c>
      <c r="C913" s="22"/>
      <c r="D913" s="3">
        <f>SUM(D914,D915,D922,D928,D929,D930)</f>
        <v>64620</v>
      </c>
      <c r="E913" s="51"/>
      <c r="F913" s="51"/>
      <c r="G913" s="56"/>
      <c r="H913" s="261"/>
    </row>
    <row r="914" spans="1:8" s="46" customFormat="1" ht="15.75" hidden="1" customHeight="1" x14ac:dyDescent="0.25">
      <c r="A914" s="68">
        <v>1</v>
      </c>
      <c r="B914" s="23" t="s">
        <v>206</v>
      </c>
      <c r="C914" s="22"/>
      <c r="D914" s="3"/>
      <c r="E914" s="51"/>
      <c r="F914" s="51"/>
      <c r="G914" s="56"/>
      <c r="H914" s="261"/>
    </row>
    <row r="915" spans="1:8" s="46" customFormat="1" ht="15.75" hidden="1" customHeight="1" x14ac:dyDescent="0.25">
      <c r="A915" s="68">
        <v>1</v>
      </c>
      <c r="B915" s="48" t="s">
        <v>211</v>
      </c>
      <c r="C915" s="22"/>
      <c r="D915" s="3">
        <f>D916+D917+D918+D920</f>
        <v>1837</v>
      </c>
      <c r="E915" s="51"/>
      <c r="F915" s="51"/>
      <c r="G915" s="56"/>
      <c r="H915" s="261"/>
    </row>
    <row r="916" spans="1:8" s="46" customFormat="1" ht="19.5" hidden="1" customHeight="1" x14ac:dyDescent="0.25">
      <c r="A916" s="68">
        <v>1</v>
      </c>
      <c r="B916" s="52" t="s">
        <v>212</v>
      </c>
      <c r="C916" s="22"/>
      <c r="D916" s="45"/>
      <c r="E916" s="51"/>
      <c r="F916" s="51"/>
      <c r="G916" s="56"/>
      <c r="H916" s="261"/>
    </row>
    <row r="917" spans="1:8" s="46" customFormat="1" ht="15.75" hidden="1" customHeight="1" x14ac:dyDescent="0.25">
      <c r="A917" s="68">
        <v>1</v>
      </c>
      <c r="B917" s="52" t="s">
        <v>213</v>
      </c>
      <c r="C917" s="22"/>
      <c r="D917" s="45"/>
      <c r="E917" s="51"/>
      <c r="F917" s="51"/>
      <c r="G917" s="56"/>
      <c r="H917" s="261"/>
    </row>
    <row r="918" spans="1:8" s="46" customFormat="1" ht="30.75" hidden="1" customHeight="1" x14ac:dyDescent="0.25">
      <c r="A918" s="68">
        <v>1</v>
      </c>
      <c r="B918" s="52" t="s">
        <v>214</v>
      </c>
      <c r="C918" s="22"/>
      <c r="D918" s="45">
        <v>1030</v>
      </c>
      <c r="E918" s="51"/>
      <c r="F918" s="51"/>
      <c r="G918" s="56"/>
      <c r="H918" s="261"/>
    </row>
    <row r="919" spans="1:8" s="46" customFormat="1" hidden="1" x14ac:dyDescent="0.25">
      <c r="A919" s="68">
        <v>1</v>
      </c>
      <c r="B919" s="52" t="s">
        <v>215</v>
      </c>
      <c r="C919" s="22"/>
      <c r="D919" s="45">
        <v>143</v>
      </c>
      <c r="E919" s="51"/>
      <c r="F919" s="51"/>
      <c r="G919" s="56"/>
      <c r="H919" s="261"/>
    </row>
    <row r="920" spans="1:8" s="46" customFormat="1" ht="30" hidden="1" x14ac:dyDescent="0.25">
      <c r="A920" s="68">
        <v>1</v>
      </c>
      <c r="B920" s="52" t="s">
        <v>216</v>
      </c>
      <c r="C920" s="22"/>
      <c r="D920" s="45">
        <v>807</v>
      </c>
      <c r="E920" s="51"/>
      <c r="F920" s="51"/>
      <c r="G920" s="56"/>
      <c r="H920" s="261"/>
    </row>
    <row r="921" spans="1:8" s="46" customFormat="1" hidden="1" x14ac:dyDescent="0.25">
      <c r="A921" s="68">
        <v>1</v>
      </c>
      <c r="B921" s="52" t="s">
        <v>215</v>
      </c>
      <c r="C921" s="22"/>
      <c r="D921" s="76">
        <v>108</v>
      </c>
      <c r="E921" s="51"/>
      <c r="F921" s="51"/>
      <c r="G921" s="56"/>
      <c r="H921" s="261"/>
    </row>
    <row r="922" spans="1:8" s="46" customFormat="1" ht="30" hidden="1" customHeight="1" x14ac:dyDescent="0.25">
      <c r="A922" s="68">
        <v>1</v>
      </c>
      <c r="B922" s="48" t="s">
        <v>217</v>
      </c>
      <c r="C922" s="22"/>
      <c r="D922" s="3">
        <f>SUM(D923,D924,D926)</f>
        <v>62783</v>
      </c>
      <c r="E922" s="51"/>
      <c r="F922" s="51"/>
      <c r="G922" s="56"/>
      <c r="H922" s="261"/>
    </row>
    <row r="923" spans="1:8" s="46" customFormat="1" ht="30" hidden="1" x14ac:dyDescent="0.25">
      <c r="A923" s="68">
        <v>1</v>
      </c>
      <c r="B923" s="52" t="s">
        <v>218</v>
      </c>
      <c r="C923" s="22"/>
      <c r="D923" s="3"/>
      <c r="E923" s="51"/>
      <c r="F923" s="51"/>
      <c r="G923" s="56"/>
      <c r="H923" s="261"/>
    </row>
    <row r="924" spans="1:8" s="46" customFormat="1" ht="45" hidden="1" x14ac:dyDescent="0.25">
      <c r="A924" s="68">
        <v>1</v>
      </c>
      <c r="B924" s="52" t="s">
        <v>219</v>
      </c>
      <c r="C924" s="22"/>
      <c r="D924" s="42">
        <v>50833</v>
      </c>
      <c r="E924" s="51"/>
      <c r="F924" s="51"/>
      <c r="G924" s="56"/>
      <c r="H924" s="261"/>
    </row>
    <row r="925" spans="1:8" s="46" customFormat="1" hidden="1" x14ac:dyDescent="0.25">
      <c r="A925" s="68">
        <v>1</v>
      </c>
      <c r="B925" s="52" t="s">
        <v>215</v>
      </c>
      <c r="C925" s="22"/>
      <c r="D925" s="42">
        <v>13600</v>
      </c>
      <c r="E925" s="51"/>
      <c r="F925" s="51"/>
      <c r="G925" s="56"/>
      <c r="H925" s="261"/>
    </row>
    <row r="926" spans="1:8" s="46" customFormat="1" ht="45" hidden="1" x14ac:dyDescent="0.25">
      <c r="A926" s="68">
        <v>1</v>
      </c>
      <c r="B926" s="52" t="s">
        <v>220</v>
      </c>
      <c r="C926" s="22"/>
      <c r="D926" s="42">
        <v>11950</v>
      </c>
      <c r="E926" s="51"/>
      <c r="F926" s="51"/>
      <c r="G926" s="56"/>
      <c r="H926" s="261"/>
    </row>
    <row r="927" spans="1:8" s="46" customFormat="1" hidden="1" x14ac:dyDescent="0.25">
      <c r="A927" s="68">
        <v>1</v>
      </c>
      <c r="B927" s="52" t="s">
        <v>215</v>
      </c>
      <c r="C927" s="22"/>
      <c r="D927" s="42">
        <v>8000</v>
      </c>
      <c r="E927" s="51"/>
      <c r="F927" s="51"/>
      <c r="G927" s="56"/>
      <c r="H927" s="261"/>
    </row>
    <row r="928" spans="1:8" s="46" customFormat="1" ht="31.5" hidden="1" customHeight="1" x14ac:dyDescent="0.25">
      <c r="A928" s="68">
        <v>1</v>
      </c>
      <c r="B928" s="48" t="s">
        <v>221</v>
      </c>
      <c r="C928" s="22"/>
      <c r="D928" s="3"/>
      <c r="E928" s="51"/>
      <c r="F928" s="51"/>
      <c r="G928" s="56"/>
      <c r="H928" s="261"/>
    </row>
    <row r="929" spans="1:8" s="46" customFormat="1" ht="15.75" hidden="1" customHeight="1" x14ac:dyDescent="0.25">
      <c r="A929" s="68">
        <v>1</v>
      </c>
      <c r="B929" s="48" t="s">
        <v>222</v>
      </c>
      <c r="C929" s="22"/>
      <c r="D929" s="3"/>
      <c r="E929" s="51"/>
      <c r="F929" s="51"/>
      <c r="G929" s="56"/>
      <c r="H929" s="261"/>
    </row>
    <row r="930" spans="1:8" s="46" customFormat="1" ht="15.75" hidden="1" customHeight="1" x14ac:dyDescent="0.25">
      <c r="A930" s="68">
        <v>1</v>
      </c>
      <c r="B930" s="23" t="s">
        <v>223</v>
      </c>
      <c r="C930" s="22"/>
      <c r="D930" s="3"/>
      <c r="E930" s="51"/>
      <c r="F930" s="51"/>
      <c r="G930" s="56"/>
      <c r="H930" s="261"/>
    </row>
    <row r="931" spans="1:8" s="46" customFormat="1" hidden="1" x14ac:dyDescent="0.25">
      <c r="A931" s="68">
        <v>1</v>
      </c>
      <c r="B931" s="24" t="s">
        <v>118</v>
      </c>
      <c r="C931" s="47"/>
      <c r="D931" s="45"/>
      <c r="E931" s="51"/>
      <c r="F931" s="51"/>
      <c r="G931" s="56"/>
      <c r="H931" s="261"/>
    </row>
    <row r="932" spans="1:8" s="46" customFormat="1" hidden="1" x14ac:dyDescent="0.25">
      <c r="A932" s="68">
        <v>1</v>
      </c>
      <c r="B932" s="44" t="s">
        <v>150</v>
      </c>
      <c r="C932" s="47"/>
      <c r="D932" s="76"/>
      <c r="E932" s="51"/>
      <c r="F932" s="51"/>
      <c r="G932" s="56"/>
      <c r="H932" s="261"/>
    </row>
    <row r="933" spans="1:8" ht="30" hidden="1" x14ac:dyDescent="0.25">
      <c r="A933" s="68">
        <v>1</v>
      </c>
      <c r="B933" s="24" t="s">
        <v>119</v>
      </c>
      <c r="C933" s="22"/>
      <c r="D933" s="3">
        <v>10268</v>
      </c>
      <c r="E933" s="3"/>
      <c r="F933" s="3"/>
      <c r="G933" s="3"/>
    </row>
    <row r="934" spans="1:8" s="46" customFormat="1" ht="15.75" hidden="1" customHeight="1" x14ac:dyDescent="0.25">
      <c r="A934" s="68">
        <v>1</v>
      </c>
      <c r="B934" s="24" t="s">
        <v>224</v>
      </c>
      <c r="C934" s="22"/>
      <c r="D934" s="3"/>
      <c r="E934" s="51"/>
      <c r="F934" s="51"/>
      <c r="G934" s="56"/>
      <c r="H934" s="261"/>
    </row>
    <row r="935" spans="1:8" s="46" customFormat="1" hidden="1" x14ac:dyDescent="0.25">
      <c r="A935" s="68">
        <v>1</v>
      </c>
      <c r="B935" s="53"/>
      <c r="C935" s="22"/>
      <c r="D935" s="3"/>
      <c r="E935" s="51"/>
      <c r="F935" s="51"/>
      <c r="G935" s="56"/>
      <c r="H935" s="261"/>
    </row>
    <row r="936" spans="1:8" s="46" customFormat="1" hidden="1" x14ac:dyDescent="0.25">
      <c r="A936" s="68">
        <v>1</v>
      </c>
      <c r="B936" s="54" t="s">
        <v>152</v>
      </c>
      <c r="C936" s="22"/>
      <c r="D936" s="18">
        <f>D913+ROUND(D931*3.2,0)+D933</f>
        <v>74888</v>
      </c>
      <c r="E936" s="51"/>
      <c r="F936" s="51"/>
      <c r="G936" s="56"/>
      <c r="H936" s="261"/>
    </row>
    <row r="937" spans="1:8" s="46" customFormat="1" hidden="1" x14ac:dyDescent="0.25">
      <c r="A937" s="68">
        <v>1</v>
      </c>
      <c r="B937" s="55" t="s">
        <v>151</v>
      </c>
      <c r="C937" s="22"/>
      <c r="D937" s="18">
        <f>SUM(D911,D936)</f>
        <v>184888</v>
      </c>
      <c r="E937" s="51"/>
      <c r="F937" s="51"/>
      <c r="G937" s="56"/>
      <c r="H937" s="261"/>
    </row>
    <row r="938" spans="1:8" hidden="1" x14ac:dyDescent="0.25">
      <c r="A938" s="68">
        <v>1</v>
      </c>
      <c r="B938" s="34" t="s">
        <v>7</v>
      </c>
      <c r="C938" s="307"/>
      <c r="D938" s="307"/>
      <c r="E938" s="3"/>
      <c r="F938" s="3"/>
      <c r="G938" s="3"/>
    </row>
    <row r="939" spans="1:8" hidden="1" x14ac:dyDescent="0.25">
      <c r="A939" s="68">
        <v>1</v>
      </c>
      <c r="B939" s="43" t="s">
        <v>76</v>
      </c>
      <c r="C939" s="307"/>
      <c r="D939" s="307"/>
      <c r="E939" s="3"/>
      <c r="F939" s="3"/>
      <c r="G939" s="3"/>
    </row>
    <row r="940" spans="1:8" hidden="1" x14ac:dyDescent="0.25">
      <c r="A940" s="68">
        <v>1</v>
      </c>
      <c r="B940" s="30" t="s">
        <v>26</v>
      </c>
      <c r="C940" s="2">
        <v>240</v>
      </c>
      <c r="D940" s="3">
        <v>820</v>
      </c>
      <c r="E940" s="60">
        <v>8</v>
      </c>
      <c r="F940" s="3">
        <f>ROUND(G940/C940,0)</f>
        <v>27</v>
      </c>
      <c r="G940" s="3">
        <f>ROUND(D940*E940,0)</f>
        <v>6560</v>
      </c>
    </row>
    <row r="941" spans="1:8" hidden="1" x14ac:dyDescent="0.25">
      <c r="A941" s="68">
        <v>1</v>
      </c>
      <c r="B941" s="30" t="s">
        <v>74</v>
      </c>
      <c r="C941" s="2">
        <v>240</v>
      </c>
      <c r="D941" s="3">
        <v>40</v>
      </c>
      <c r="E941" s="60">
        <v>8</v>
      </c>
      <c r="F941" s="3">
        <f>ROUND(G941/C941,0)</f>
        <v>1</v>
      </c>
      <c r="G941" s="3">
        <f>ROUND(D941*E941,0)</f>
        <v>320</v>
      </c>
    </row>
    <row r="942" spans="1:8" hidden="1" x14ac:dyDescent="0.25">
      <c r="A942" s="68">
        <v>1</v>
      </c>
      <c r="B942" s="30" t="s">
        <v>45</v>
      </c>
      <c r="C942" s="2">
        <v>240</v>
      </c>
      <c r="D942" s="3">
        <v>30</v>
      </c>
      <c r="E942" s="60">
        <v>9</v>
      </c>
      <c r="F942" s="3">
        <f t="shared" ref="F942:F943" si="61">ROUND(G942/C942,0)</f>
        <v>1</v>
      </c>
      <c r="G942" s="3">
        <f t="shared" ref="G942:G943" si="62">ROUND(D942*E942,0)</f>
        <v>270</v>
      </c>
    </row>
    <row r="943" spans="1:8" hidden="1" x14ac:dyDescent="0.25">
      <c r="A943" s="68">
        <v>1</v>
      </c>
      <c r="B943" s="30" t="s">
        <v>57</v>
      </c>
      <c r="C943" s="2">
        <v>240</v>
      </c>
      <c r="D943" s="3">
        <v>10</v>
      </c>
      <c r="E943" s="60">
        <v>10</v>
      </c>
      <c r="F943" s="3">
        <f t="shared" si="61"/>
        <v>0</v>
      </c>
      <c r="G943" s="3">
        <f t="shared" si="62"/>
        <v>100</v>
      </c>
    </row>
    <row r="944" spans="1:8" ht="17.25" hidden="1" customHeight="1" x14ac:dyDescent="0.25">
      <c r="A944" s="68">
        <v>1</v>
      </c>
      <c r="B944" s="219" t="s">
        <v>141</v>
      </c>
      <c r="C944" s="2"/>
      <c r="D944" s="35">
        <f>SUM(D940:D943)</f>
        <v>900</v>
      </c>
      <c r="E944" s="85">
        <f>E941</f>
        <v>8</v>
      </c>
      <c r="F944" s="35">
        <f t="shared" ref="F944:G944" si="63">SUM(F940:F943)</f>
        <v>29</v>
      </c>
      <c r="G944" s="35">
        <f t="shared" si="63"/>
        <v>7250</v>
      </c>
    </row>
    <row r="945" spans="1:7" ht="17.25" hidden="1" customHeight="1" x14ac:dyDescent="0.25">
      <c r="A945" s="68">
        <v>1</v>
      </c>
      <c r="B945" s="298" t="s">
        <v>116</v>
      </c>
      <c r="C945" s="2"/>
      <c r="D945" s="294">
        <f t="shared" ref="D945" si="64">D944</f>
        <v>900</v>
      </c>
      <c r="E945" s="303">
        <f t="shared" ref="E945:G945" si="65">E944</f>
        <v>8</v>
      </c>
      <c r="F945" s="294">
        <f t="shared" si="65"/>
        <v>29</v>
      </c>
      <c r="G945" s="294">
        <f t="shared" si="65"/>
        <v>7250</v>
      </c>
    </row>
    <row r="946" spans="1:7" ht="20.25" hidden="1" customHeight="1" thickBot="1" x14ac:dyDescent="0.3">
      <c r="A946" s="68">
        <v>1</v>
      </c>
      <c r="B946" s="270" t="s">
        <v>10</v>
      </c>
      <c r="C946" s="270"/>
      <c r="D946" s="271"/>
      <c r="E946" s="271"/>
      <c r="F946" s="271"/>
      <c r="G946" s="271"/>
    </row>
    <row r="947" spans="1:7" ht="29.25" hidden="1" x14ac:dyDescent="0.25">
      <c r="A947" s="68">
        <v>1</v>
      </c>
      <c r="B947" s="317" t="s">
        <v>340</v>
      </c>
      <c r="C947" s="672"/>
      <c r="D947" s="258"/>
      <c r="E947" s="258"/>
      <c r="F947" s="258"/>
      <c r="G947" s="258"/>
    </row>
    <row r="948" spans="1:7" hidden="1" x14ac:dyDescent="0.25">
      <c r="A948" s="68">
        <v>1</v>
      </c>
      <c r="B948" s="69" t="s">
        <v>4</v>
      </c>
      <c r="C948" s="79"/>
      <c r="D948" s="3"/>
      <c r="E948" s="318"/>
      <c r="F948" s="3"/>
      <c r="G948" s="3"/>
    </row>
    <row r="949" spans="1:7" hidden="1" x14ac:dyDescent="0.25">
      <c r="A949" s="68">
        <v>1</v>
      </c>
      <c r="B949" s="4" t="s">
        <v>74</v>
      </c>
      <c r="C949" s="90">
        <v>340</v>
      </c>
      <c r="D949" s="3">
        <v>690</v>
      </c>
      <c r="E949" s="319">
        <v>10</v>
      </c>
      <c r="F949" s="3">
        <f t="shared" ref="F949:F960" si="66">ROUND(G949/C949,0)</f>
        <v>20</v>
      </c>
      <c r="G949" s="3">
        <f t="shared" ref="G949:G960" si="67">ROUND(D949*E949,0)</f>
        <v>6900</v>
      </c>
    </row>
    <row r="950" spans="1:7" hidden="1" x14ac:dyDescent="0.25">
      <c r="A950" s="68">
        <v>1</v>
      </c>
      <c r="B950" s="4" t="s">
        <v>58</v>
      </c>
      <c r="C950" s="90">
        <v>340</v>
      </c>
      <c r="D950" s="3">
        <v>46</v>
      </c>
      <c r="E950" s="319">
        <v>9.5</v>
      </c>
      <c r="F950" s="3">
        <f t="shared" si="66"/>
        <v>1</v>
      </c>
      <c r="G950" s="3">
        <f t="shared" si="67"/>
        <v>437</v>
      </c>
    </row>
    <row r="951" spans="1:7" hidden="1" x14ac:dyDescent="0.25">
      <c r="A951" s="68">
        <v>1</v>
      </c>
      <c r="B951" s="4" t="s">
        <v>23</v>
      </c>
      <c r="C951" s="90">
        <v>340</v>
      </c>
      <c r="D951" s="3">
        <v>80</v>
      </c>
      <c r="E951" s="319">
        <v>6.3</v>
      </c>
      <c r="F951" s="3">
        <f t="shared" si="66"/>
        <v>1</v>
      </c>
      <c r="G951" s="3">
        <f t="shared" si="67"/>
        <v>504</v>
      </c>
    </row>
    <row r="952" spans="1:7" hidden="1" x14ac:dyDescent="0.25">
      <c r="A952" s="68">
        <v>1</v>
      </c>
      <c r="B952" s="4" t="s">
        <v>22</v>
      </c>
      <c r="C952" s="90">
        <v>340</v>
      </c>
      <c r="D952" s="3">
        <v>800</v>
      </c>
      <c r="E952" s="319">
        <v>10</v>
      </c>
      <c r="F952" s="3">
        <f t="shared" si="66"/>
        <v>24</v>
      </c>
      <c r="G952" s="3">
        <f t="shared" si="67"/>
        <v>8000</v>
      </c>
    </row>
    <row r="953" spans="1:7" hidden="1" x14ac:dyDescent="0.25">
      <c r="A953" s="68">
        <v>1</v>
      </c>
      <c r="B953" s="4" t="s">
        <v>57</v>
      </c>
      <c r="C953" s="90">
        <v>340</v>
      </c>
      <c r="D953" s="3">
        <f>720+20</f>
        <v>740</v>
      </c>
      <c r="E953" s="319">
        <v>8.5</v>
      </c>
      <c r="F953" s="3">
        <f t="shared" si="66"/>
        <v>19</v>
      </c>
      <c r="G953" s="3">
        <f t="shared" si="67"/>
        <v>6290</v>
      </c>
    </row>
    <row r="954" spans="1:7" hidden="1" x14ac:dyDescent="0.25">
      <c r="A954" s="68">
        <v>1</v>
      </c>
      <c r="B954" s="4" t="s">
        <v>34</v>
      </c>
      <c r="C954" s="90">
        <v>340</v>
      </c>
      <c r="D954" s="3">
        <v>120</v>
      </c>
      <c r="E954" s="319">
        <v>11</v>
      </c>
      <c r="F954" s="3">
        <f t="shared" si="66"/>
        <v>4</v>
      </c>
      <c r="G954" s="3">
        <f t="shared" si="67"/>
        <v>1320</v>
      </c>
    </row>
    <row r="955" spans="1:7" hidden="1" x14ac:dyDescent="0.25">
      <c r="A955" s="68">
        <v>1</v>
      </c>
      <c r="B955" s="4" t="s">
        <v>14</v>
      </c>
      <c r="C955" s="90">
        <v>340</v>
      </c>
      <c r="D955" s="3">
        <v>320</v>
      </c>
      <c r="E955" s="319">
        <v>10.199999999999999</v>
      </c>
      <c r="F955" s="3">
        <f t="shared" si="66"/>
        <v>10</v>
      </c>
      <c r="G955" s="3">
        <f t="shared" si="67"/>
        <v>3264</v>
      </c>
    </row>
    <row r="956" spans="1:7" hidden="1" x14ac:dyDescent="0.25">
      <c r="A956" s="68">
        <v>1</v>
      </c>
      <c r="B956" s="4" t="s">
        <v>21</v>
      </c>
      <c r="C956" s="90">
        <v>340</v>
      </c>
      <c r="D956" s="3">
        <v>400</v>
      </c>
      <c r="E956" s="319">
        <v>9</v>
      </c>
      <c r="F956" s="3">
        <f t="shared" si="66"/>
        <v>11</v>
      </c>
      <c r="G956" s="3">
        <f t="shared" si="67"/>
        <v>3600</v>
      </c>
    </row>
    <row r="957" spans="1:7" hidden="1" x14ac:dyDescent="0.25">
      <c r="A957" s="68">
        <v>1</v>
      </c>
      <c r="B957" s="4" t="s">
        <v>12</v>
      </c>
      <c r="C957" s="90">
        <v>340</v>
      </c>
      <c r="D957" s="3">
        <v>139</v>
      </c>
      <c r="E957" s="319">
        <v>8.1999999999999993</v>
      </c>
      <c r="F957" s="3">
        <f t="shared" si="66"/>
        <v>3</v>
      </c>
      <c r="G957" s="3">
        <f t="shared" si="67"/>
        <v>1140</v>
      </c>
    </row>
    <row r="958" spans="1:7" hidden="1" x14ac:dyDescent="0.25">
      <c r="A958" s="68">
        <v>1</v>
      </c>
      <c r="B958" s="320" t="s">
        <v>62</v>
      </c>
      <c r="C958" s="90">
        <v>340</v>
      </c>
      <c r="D958" s="3">
        <v>173</v>
      </c>
      <c r="E958" s="319">
        <v>10</v>
      </c>
      <c r="F958" s="3">
        <f t="shared" si="66"/>
        <v>5</v>
      </c>
      <c r="G958" s="3">
        <f t="shared" si="67"/>
        <v>1730</v>
      </c>
    </row>
    <row r="959" spans="1:7" hidden="1" x14ac:dyDescent="0.25">
      <c r="A959" s="68">
        <v>1</v>
      </c>
      <c r="B959" s="320" t="s">
        <v>31</v>
      </c>
      <c r="C959" s="90">
        <v>340</v>
      </c>
      <c r="D959" s="3">
        <v>370</v>
      </c>
      <c r="E959" s="319">
        <v>9</v>
      </c>
      <c r="F959" s="3">
        <f t="shared" si="66"/>
        <v>10</v>
      </c>
      <c r="G959" s="3">
        <f t="shared" si="67"/>
        <v>3330</v>
      </c>
    </row>
    <row r="960" spans="1:7" hidden="1" x14ac:dyDescent="0.25">
      <c r="A960" s="68">
        <v>1</v>
      </c>
      <c r="B960" s="321" t="s">
        <v>63</v>
      </c>
      <c r="C960" s="90">
        <v>340</v>
      </c>
      <c r="D960" s="3">
        <v>150</v>
      </c>
      <c r="E960" s="319">
        <v>11.5</v>
      </c>
      <c r="F960" s="3">
        <f t="shared" si="66"/>
        <v>5</v>
      </c>
      <c r="G960" s="3">
        <f t="shared" si="67"/>
        <v>1725</v>
      </c>
    </row>
    <row r="961" spans="1:8" s="68" customFormat="1" ht="14.25" hidden="1" x14ac:dyDescent="0.2">
      <c r="A961" s="68">
        <v>1</v>
      </c>
      <c r="B961" s="322" t="s">
        <v>5</v>
      </c>
      <c r="C961" s="91"/>
      <c r="D961" s="18">
        <f>SUM(D949:D960)</f>
        <v>4028</v>
      </c>
      <c r="E961" s="17">
        <f>G961/D961</f>
        <v>9.4935451837140015</v>
      </c>
      <c r="F961" s="18">
        <f>SUM(F949:F960)</f>
        <v>113</v>
      </c>
      <c r="G961" s="18">
        <f>SUM(G949:G960)</f>
        <v>38240</v>
      </c>
      <c r="H961" s="241"/>
    </row>
    <row r="962" spans="1:8" s="46" customFormat="1" ht="18.75" hidden="1" customHeight="1" x14ac:dyDescent="0.25">
      <c r="A962" s="68">
        <v>1</v>
      </c>
      <c r="B962" s="21" t="s">
        <v>205</v>
      </c>
      <c r="C962" s="21"/>
      <c r="D962" s="74"/>
      <c r="E962" s="45"/>
      <c r="F962" s="45"/>
      <c r="G962" s="45"/>
      <c r="H962" s="261"/>
    </row>
    <row r="963" spans="1:8" s="46" customFormat="1" ht="30" hidden="1" x14ac:dyDescent="0.25">
      <c r="A963" s="68">
        <v>1</v>
      </c>
      <c r="B963" s="23" t="s">
        <v>322</v>
      </c>
      <c r="C963" s="47"/>
      <c r="D963" s="45">
        <f>SUM(D965,D966,D967,D968)+D964/2.7</f>
        <v>63638.888888888891</v>
      </c>
      <c r="E963" s="45"/>
      <c r="F963" s="45"/>
      <c r="G963" s="45"/>
      <c r="H963" s="261"/>
    </row>
    <row r="964" spans="1:8" s="46" customFormat="1" hidden="1" x14ac:dyDescent="0.25">
      <c r="A964" s="68">
        <v>1</v>
      </c>
      <c r="B964" s="23" t="s">
        <v>286</v>
      </c>
      <c r="C964" s="28"/>
      <c r="D964" s="3">
        <f>2425+2000</f>
        <v>4425</v>
      </c>
      <c r="E964" s="28"/>
      <c r="F964" s="28"/>
      <c r="G964" s="28"/>
      <c r="H964" s="261"/>
    </row>
    <row r="965" spans="1:8" s="46" customFormat="1" hidden="1" x14ac:dyDescent="0.25">
      <c r="A965" s="68">
        <v>1</v>
      </c>
      <c r="B965" s="48" t="s">
        <v>206</v>
      </c>
      <c r="C965" s="47"/>
      <c r="D965" s="45"/>
      <c r="E965" s="45"/>
      <c r="F965" s="45"/>
      <c r="G965" s="45"/>
      <c r="H965" s="261"/>
    </row>
    <row r="966" spans="1:8" s="46" customFormat="1" ht="36" hidden="1" customHeight="1" x14ac:dyDescent="0.25">
      <c r="A966" s="68">
        <v>1</v>
      </c>
      <c r="B966" s="48" t="s">
        <v>207</v>
      </c>
      <c r="C966" s="47"/>
      <c r="D966" s="3">
        <v>6000</v>
      </c>
      <c r="E966" s="3"/>
      <c r="F966" s="45"/>
      <c r="G966" s="45"/>
      <c r="H966" s="261"/>
    </row>
    <row r="967" spans="1:8" s="46" customFormat="1" ht="30" hidden="1" x14ac:dyDescent="0.25">
      <c r="A967" s="68">
        <v>1</v>
      </c>
      <c r="B967" s="48" t="s">
        <v>208</v>
      </c>
      <c r="C967" s="47"/>
      <c r="D967" s="3"/>
      <c r="E967" s="3"/>
      <c r="F967" s="45"/>
      <c r="G967" s="45"/>
      <c r="H967" s="261"/>
    </row>
    <row r="968" spans="1:8" s="46" customFormat="1" hidden="1" x14ac:dyDescent="0.25">
      <c r="A968" s="68">
        <v>1</v>
      </c>
      <c r="B968" s="23" t="s">
        <v>209</v>
      </c>
      <c r="C968" s="47"/>
      <c r="D968" s="3">
        <v>56000</v>
      </c>
      <c r="E968" s="3"/>
      <c r="F968" s="45"/>
      <c r="G968" s="45"/>
      <c r="H968" s="261"/>
    </row>
    <row r="969" spans="1:8" s="46" customFormat="1" ht="45" hidden="1" x14ac:dyDescent="0.25">
      <c r="A969" s="68">
        <v>1</v>
      </c>
      <c r="B969" s="23" t="s">
        <v>285</v>
      </c>
      <c r="C969" s="47"/>
      <c r="D969" s="13">
        <v>0</v>
      </c>
      <c r="E969" s="45"/>
      <c r="F969" s="45"/>
      <c r="G969" s="45"/>
      <c r="H969" s="261"/>
    </row>
    <row r="970" spans="1:8" s="68" customFormat="1" hidden="1" x14ac:dyDescent="0.25">
      <c r="A970" s="68">
        <v>1</v>
      </c>
      <c r="B970" s="24" t="s">
        <v>118</v>
      </c>
      <c r="C970" s="22"/>
      <c r="D970" s="3">
        <f>D971+D972</f>
        <v>39999.882352941175</v>
      </c>
      <c r="E970" s="3"/>
      <c r="F970" s="45"/>
      <c r="G970" s="18"/>
      <c r="H970" s="241"/>
    </row>
    <row r="971" spans="1:8" s="68" customFormat="1" hidden="1" x14ac:dyDescent="0.25">
      <c r="A971" s="68">
        <v>1</v>
      </c>
      <c r="B971" s="24" t="s">
        <v>259</v>
      </c>
      <c r="C971" s="207"/>
      <c r="D971" s="3">
        <v>35294</v>
      </c>
      <c r="E971" s="3"/>
      <c r="F971" s="45"/>
      <c r="G971" s="18"/>
      <c r="H971" s="241"/>
    </row>
    <row r="972" spans="1:8" s="68" customFormat="1" hidden="1" x14ac:dyDescent="0.25">
      <c r="A972" s="68">
        <v>1</v>
      </c>
      <c r="B972" s="24" t="s">
        <v>261</v>
      </c>
      <c r="C972" s="207"/>
      <c r="D972" s="13">
        <f>D973/8.5</f>
        <v>4705.8823529411766</v>
      </c>
      <c r="E972" s="3"/>
      <c r="F972" s="45"/>
      <c r="G972" s="18"/>
      <c r="H972" s="241"/>
    </row>
    <row r="973" spans="1:8" s="46" customFormat="1" hidden="1" x14ac:dyDescent="0.25">
      <c r="A973" s="68">
        <v>1</v>
      </c>
      <c r="B973" s="44" t="s">
        <v>260</v>
      </c>
      <c r="C973" s="262"/>
      <c r="D973" s="3">
        <v>40000</v>
      </c>
      <c r="E973" s="3"/>
      <c r="F973" s="45"/>
      <c r="G973" s="45"/>
      <c r="H973" s="261"/>
    </row>
    <row r="974" spans="1:8" s="46" customFormat="1" ht="15.75" hidden="1" customHeight="1" x14ac:dyDescent="0.25">
      <c r="A974" s="68">
        <v>1</v>
      </c>
      <c r="B974" s="49" t="s">
        <v>210</v>
      </c>
      <c r="C974" s="50"/>
      <c r="D974" s="47">
        <f>D963+ROUND(D971*3.2,0)+D973/3.9</f>
        <v>186836.29914529913</v>
      </c>
      <c r="E974" s="51"/>
      <c r="F974" s="51"/>
      <c r="G974" s="56"/>
      <c r="H974" s="261"/>
    </row>
    <row r="975" spans="1:8" s="46" customFormat="1" ht="15.75" hidden="1" customHeight="1" x14ac:dyDescent="0.25">
      <c r="A975" s="68">
        <v>1</v>
      </c>
      <c r="B975" s="21" t="s">
        <v>153</v>
      </c>
      <c r="C975" s="22"/>
      <c r="D975" s="3"/>
      <c r="E975" s="51"/>
      <c r="F975" s="51"/>
      <c r="G975" s="56"/>
      <c r="H975" s="261"/>
    </row>
    <row r="976" spans="1:8" s="46" customFormat="1" ht="30" hidden="1" x14ac:dyDescent="0.25">
      <c r="A976" s="68">
        <v>1</v>
      </c>
      <c r="B976" s="23" t="s">
        <v>322</v>
      </c>
      <c r="C976" s="22"/>
      <c r="D976" s="3">
        <f>SUM(D977,D978,D985,D991,D992,D993)</f>
        <v>34153</v>
      </c>
      <c r="E976" s="51"/>
      <c r="F976" s="51"/>
      <c r="G976" s="56"/>
      <c r="H976" s="261"/>
    </row>
    <row r="977" spans="1:8" s="46" customFormat="1" ht="15.75" hidden="1" customHeight="1" x14ac:dyDescent="0.25">
      <c r="A977" s="68">
        <v>1</v>
      </c>
      <c r="B977" s="23" t="s">
        <v>206</v>
      </c>
      <c r="C977" s="22"/>
      <c r="D977" s="3"/>
      <c r="E977" s="51"/>
      <c r="F977" s="51"/>
      <c r="G977" s="56"/>
      <c r="H977" s="261"/>
    </row>
    <row r="978" spans="1:8" s="46" customFormat="1" ht="15.75" hidden="1" customHeight="1" x14ac:dyDescent="0.25">
      <c r="A978" s="68">
        <v>1</v>
      </c>
      <c r="B978" s="48" t="s">
        <v>211</v>
      </c>
      <c r="C978" s="22"/>
      <c r="D978" s="3">
        <f>D979+D980+D981+D983</f>
        <v>7120</v>
      </c>
      <c r="E978" s="51"/>
      <c r="F978" s="51"/>
      <c r="G978" s="56"/>
      <c r="H978" s="261"/>
    </row>
    <row r="979" spans="1:8" s="46" customFormat="1" ht="19.5" hidden="1" customHeight="1" x14ac:dyDescent="0.25">
      <c r="A979" s="68">
        <v>1</v>
      </c>
      <c r="B979" s="52" t="s">
        <v>212</v>
      </c>
      <c r="C979" s="22"/>
      <c r="D979" s="45">
        <f>8090-3090</f>
        <v>5000</v>
      </c>
      <c r="E979" s="51"/>
      <c r="F979" s="51"/>
      <c r="G979" s="56"/>
      <c r="H979" s="261"/>
    </row>
    <row r="980" spans="1:8" s="46" customFormat="1" ht="15.75" hidden="1" customHeight="1" x14ac:dyDescent="0.25">
      <c r="A980" s="68">
        <v>1</v>
      </c>
      <c r="B980" s="52" t="s">
        <v>213</v>
      </c>
      <c r="C980" s="22"/>
      <c r="D980" s="45">
        <v>1867</v>
      </c>
      <c r="E980" s="51"/>
      <c r="F980" s="51"/>
      <c r="G980" s="56"/>
      <c r="H980" s="261"/>
    </row>
    <row r="981" spans="1:8" s="46" customFormat="1" ht="30.75" hidden="1" customHeight="1" x14ac:dyDescent="0.25">
      <c r="A981" s="68">
        <v>1</v>
      </c>
      <c r="B981" s="52" t="s">
        <v>214</v>
      </c>
      <c r="C981" s="22"/>
      <c r="D981" s="45"/>
      <c r="E981" s="51"/>
      <c r="F981" s="51"/>
      <c r="G981" s="56"/>
      <c r="H981" s="261"/>
    </row>
    <row r="982" spans="1:8" s="46" customFormat="1" hidden="1" x14ac:dyDescent="0.25">
      <c r="A982" s="68">
        <v>1</v>
      </c>
      <c r="B982" s="52" t="s">
        <v>215</v>
      </c>
      <c r="C982" s="22"/>
      <c r="D982" s="45"/>
      <c r="E982" s="51"/>
      <c r="F982" s="51"/>
      <c r="G982" s="56"/>
      <c r="H982" s="261"/>
    </row>
    <row r="983" spans="1:8" s="46" customFormat="1" ht="30" hidden="1" x14ac:dyDescent="0.25">
      <c r="A983" s="68">
        <v>1</v>
      </c>
      <c r="B983" s="52" t="s">
        <v>216</v>
      </c>
      <c r="C983" s="22"/>
      <c r="D983" s="45">
        <v>253</v>
      </c>
      <c r="E983" s="51"/>
      <c r="F983" s="51"/>
      <c r="G983" s="56"/>
      <c r="H983" s="261"/>
    </row>
    <row r="984" spans="1:8" s="46" customFormat="1" hidden="1" x14ac:dyDescent="0.25">
      <c r="A984" s="68">
        <v>1</v>
      </c>
      <c r="B984" s="52" t="s">
        <v>215</v>
      </c>
      <c r="C984" s="22"/>
      <c r="D984" s="76">
        <v>22</v>
      </c>
      <c r="E984" s="51"/>
      <c r="F984" s="51"/>
      <c r="G984" s="56"/>
      <c r="H984" s="261"/>
    </row>
    <row r="985" spans="1:8" s="46" customFormat="1" ht="30" hidden="1" customHeight="1" x14ac:dyDescent="0.25">
      <c r="A985" s="68">
        <v>1</v>
      </c>
      <c r="B985" s="48" t="s">
        <v>217</v>
      </c>
      <c r="C985" s="22"/>
      <c r="D985" s="3">
        <f>SUM(D986,D987,D989)</f>
        <v>26644</v>
      </c>
      <c r="E985" s="51"/>
      <c r="F985" s="51"/>
      <c r="G985" s="56"/>
      <c r="H985" s="261"/>
    </row>
    <row r="986" spans="1:8" s="46" customFormat="1" ht="30" hidden="1" x14ac:dyDescent="0.25">
      <c r="A986" s="68">
        <v>1</v>
      </c>
      <c r="B986" s="52" t="s">
        <v>218</v>
      </c>
      <c r="C986" s="22"/>
      <c r="D986" s="3">
        <f>5344+2300</f>
        <v>7644</v>
      </c>
      <c r="E986" s="51"/>
      <c r="F986" s="51"/>
      <c r="G986" s="56"/>
      <c r="H986" s="261"/>
    </row>
    <row r="987" spans="1:8" s="46" customFormat="1" ht="45" hidden="1" x14ac:dyDescent="0.25">
      <c r="A987" s="68">
        <v>1</v>
      </c>
      <c r="B987" s="52" t="s">
        <v>219</v>
      </c>
      <c r="C987" s="22"/>
      <c r="D987" s="42">
        <v>16000</v>
      </c>
      <c r="E987" s="51"/>
      <c r="F987" s="51"/>
      <c r="G987" s="56"/>
      <c r="H987" s="261"/>
    </row>
    <row r="988" spans="1:8" s="46" customFormat="1" hidden="1" x14ac:dyDescent="0.25">
      <c r="A988" s="68">
        <v>1</v>
      </c>
      <c r="B988" s="52" t="s">
        <v>215</v>
      </c>
      <c r="C988" s="22"/>
      <c r="D988" s="42">
        <v>3002</v>
      </c>
      <c r="E988" s="51"/>
      <c r="F988" s="51"/>
      <c r="G988" s="56"/>
      <c r="H988" s="261"/>
    </row>
    <row r="989" spans="1:8" s="46" customFormat="1" ht="45" hidden="1" x14ac:dyDescent="0.25">
      <c r="A989" s="68">
        <v>1</v>
      </c>
      <c r="B989" s="52" t="s">
        <v>220</v>
      </c>
      <c r="C989" s="22"/>
      <c r="D989" s="42">
        <v>3000</v>
      </c>
      <c r="E989" s="51"/>
      <c r="F989" s="51"/>
      <c r="G989" s="56"/>
      <c r="H989" s="261"/>
    </row>
    <row r="990" spans="1:8" s="46" customFormat="1" hidden="1" x14ac:dyDescent="0.25">
      <c r="A990" s="68">
        <v>1</v>
      </c>
      <c r="B990" s="52" t="s">
        <v>215</v>
      </c>
      <c r="C990" s="22"/>
      <c r="D990" s="42">
        <v>2000</v>
      </c>
      <c r="E990" s="51"/>
      <c r="F990" s="51"/>
      <c r="G990" s="56"/>
      <c r="H990" s="261"/>
    </row>
    <row r="991" spans="1:8" s="46" customFormat="1" ht="31.5" hidden="1" customHeight="1" x14ac:dyDescent="0.25">
      <c r="A991" s="68">
        <v>1</v>
      </c>
      <c r="B991" s="48" t="s">
        <v>221</v>
      </c>
      <c r="C991" s="22"/>
      <c r="D991" s="3"/>
      <c r="E991" s="51"/>
      <c r="F991" s="51"/>
      <c r="G991" s="56"/>
      <c r="H991" s="261"/>
    </row>
    <row r="992" spans="1:8" s="46" customFormat="1" ht="33.75" hidden="1" customHeight="1" x14ac:dyDescent="0.25">
      <c r="A992" s="68">
        <v>1</v>
      </c>
      <c r="B992" s="48" t="s">
        <v>222</v>
      </c>
      <c r="C992" s="22"/>
      <c r="D992" s="3"/>
      <c r="E992" s="51"/>
      <c r="F992" s="51"/>
      <c r="G992" s="56"/>
      <c r="H992" s="261"/>
    </row>
    <row r="993" spans="1:8" s="46" customFormat="1" ht="15.75" hidden="1" customHeight="1" x14ac:dyDescent="0.25">
      <c r="A993" s="68">
        <v>1</v>
      </c>
      <c r="B993" s="23" t="s">
        <v>223</v>
      </c>
      <c r="C993" s="22"/>
      <c r="D993" s="3">
        <v>389</v>
      </c>
      <c r="E993" s="51"/>
      <c r="F993" s="51"/>
      <c r="G993" s="56"/>
      <c r="H993" s="261"/>
    </row>
    <row r="994" spans="1:8" s="46" customFormat="1" hidden="1" x14ac:dyDescent="0.25">
      <c r="A994" s="68">
        <v>1</v>
      </c>
      <c r="B994" s="24" t="s">
        <v>118</v>
      </c>
      <c r="C994" s="47"/>
      <c r="D994" s="45">
        <v>100</v>
      </c>
      <c r="E994" s="51"/>
      <c r="F994" s="51"/>
      <c r="G994" s="56"/>
      <c r="H994" s="261"/>
    </row>
    <row r="995" spans="1:8" s="46" customFormat="1" hidden="1" x14ac:dyDescent="0.25">
      <c r="A995" s="68">
        <v>1</v>
      </c>
      <c r="B995" s="44" t="s">
        <v>150</v>
      </c>
      <c r="C995" s="47"/>
      <c r="D995" s="76"/>
      <c r="E995" s="51"/>
      <c r="F995" s="51"/>
      <c r="G995" s="56"/>
      <c r="H995" s="261"/>
    </row>
    <row r="996" spans="1:8" s="68" customFormat="1" ht="30" hidden="1" x14ac:dyDescent="0.25">
      <c r="A996" s="68">
        <v>1</v>
      </c>
      <c r="B996" s="24" t="s">
        <v>119</v>
      </c>
      <c r="C996" s="22"/>
      <c r="D996" s="3">
        <v>15000</v>
      </c>
      <c r="E996" s="17"/>
      <c r="F996" s="18"/>
      <c r="G996" s="18"/>
      <c r="H996" s="241"/>
    </row>
    <row r="997" spans="1:8" s="46" customFormat="1" ht="44.25" hidden="1" customHeight="1" x14ac:dyDescent="0.25">
      <c r="A997" s="68">
        <v>1</v>
      </c>
      <c r="B997" s="24" t="s">
        <v>296</v>
      </c>
      <c r="C997" s="22"/>
      <c r="D997" s="3">
        <v>1000</v>
      </c>
      <c r="E997" s="51"/>
      <c r="F997" s="51"/>
      <c r="G997" s="56"/>
      <c r="H997" s="261"/>
    </row>
    <row r="998" spans="1:8" s="46" customFormat="1" hidden="1" x14ac:dyDescent="0.25">
      <c r="A998" s="68">
        <v>1</v>
      </c>
      <c r="B998" s="53"/>
      <c r="C998" s="22"/>
      <c r="D998" s="3"/>
      <c r="E998" s="51"/>
      <c r="F998" s="51"/>
      <c r="G998" s="56"/>
      <c r="H998" s="261"/>
    </row>
    <row r="999" spans="1:8" s="46" customFormat="1" hidden="1" x14ac:dyDescent="0.25">
      <c r="A999" s="68">
        <v>1</v>
      </c>
      <c r="B999" s="54" t="s">
        <v>152</v>
      </c>
      <c r="C999" s="22"/>
      <c r="D999" s="18">
        <f>D976+ROUND(D994*3.2,0)+D996+D997</f>
        <v>50473</v>
      </c>
      <c r="E999" s="51"/>
      <c r="F999" s="51"/>
      <c r="G999" s="56"/>
      <c r="H999" s="261"/>
    </row>
    <row r="1000" spans="1:8" s="46" customFormat="1" hidden="1" x14ac:dyDescent="0.25">
      <c r="A1000" s="68">
        <v>1</v>
      </c>
      <c r="B1000" s="55" t="s">
        <v>151</v>
      </c>
      <c r="C1000" s="22"/>
      <c r="D1000" s="18">
        <f>SUM(D974,D999)</f>
        <v>237309.29914529913</v>
      </c>
      <c r="E1000" s="51"/>
      <c r="F1000" s="51"/>
      <c r="G1000" s="56"/>
      <c r="H1000" s="261"/>
    </row>
    <row r="1001" spans="1:8" s="46" customFormat="1" hidden="1" x14ac:dyDescent="0.25">
      <c r="A1001" s="68">
        <v>1</v>
      </c>
      <c r="B1001" s="323" t="s">
        <v>120</v>
      </c>
      <c r="C1001" s="207"/>
      <c r="D1001" s="202">
        <f>SUM(D1002:D1013)</f>
        <v>1255</v>
      </c>
      <c r="E1001" s="51"/>
      <c r="F1001" s="51"/>
      <c r="G1001" s="18"/>
      <c r="H1001" s="75"/>
    </row>
    <row r="1002" spans="1:8" s="46" customFormat="1" hidden="1" x14ac:dyDescent="0.25">
      <c r="A1002" s="68">
        <v>1</v>
      </c>
      <c r="B1002" s="24" t="s">
        <v>299</v>
      </c>
      <c r="C1002" s="207"/>
      <c r="D1002" s="3">
        <v>25</v>
      </c>
      <c r="E1002" s="51"/>
      <c r="F1002" s="51"/>
      <c r="G1002" s="18"/>
      <c r="H1002" s="261"/>
    </row>
    <row r="1003" spans="1:8" s="46" customFormat="1" hidden="1" x14ac:dyDescent="0.25">
      <c r="A1003" s="68">
        <v>1</v>
      </c>
      <c r="B1003" s="24" t="s">
        <v>19</v>
      </c>
      <c r="C1003" s="207"/>
      <c r="D1003" s="3">
        <v>550</v>
      </c>
      <c r="E1003" s="51"/>
      <c r="F1003" s="51"/>
      <c r="G1003" s="18"/>
      <c r="H1003" s="261"/>
    </row>
    <row r="1004" spans="1:8" s="46" customFormat="1" ht="30" hidden="1" x14ac:dyDescent="0.25">
      <c r="A1004" s="68">
        <v>1</v>
      </c>
      <c r="B1004" s="24" t="s">
        <v>30</v>
      </c>
      <c r="C1004" s="207"/>
      <c r="D1004" s="3"/>
      <c r="E1004" s="51"/>
      <c r="F1004" s="51"/>
      <c r="G1004" s="18"/>
      <c r="H1004" s="261"/>
    </row>
    <row r="1005" spans="1:8" s="46" customFormat="1" hidden="1" x14ac:dyDescent="0.25">
      <c r="A1005" s="68">
        <v>1</v>
      </c>
      <c r="B1005" s="24" t="s">
        <v>32</v>
      </c>
      <c r="C1005" s="207"/>
      <c r="D1005" s="3">
        <v>360</v>
      </c>
      <c r="E1005" s="51"/>
      <c r="F1005" s="51"/>
      <c r="G1005" s="18"/>
      <c r="H1005" s="261"/>
    </row>
    <row r="1006" spans="1:8" s="46" customFormat="1" hidden="1" x14ac:dyDescent="0.25">
      <c r="A1006" s="68">
        <v>1</v>
      </c>
      <c r="B1006" s="24" t="s">
        <v>121</v>
      </c>
      <c r="C1006" s="207"/>
      <c r="D1006" s="3">
        <v>30</v>
      </c>
      <c r="E1006" s="51"/>
      <c r="F1006" s="51"/>
      <c r="G1006" s="18"/>
      <c r="H1006" s="261"/>
    </row>
    <row r="1007" spans="1:8" s="46" customFormat="1" hidden="1" x14ac:dyDescent="0.25">
      <c r="A1007" s="68">
        <v>1</v>
      </c>
      <c r="B1007" s="24" t="s">
        <v>254</v>
      </c>
      <c r="C1007" s="207"/>
      <c r="D1007" s="3">
        <v>60</v>
      </c>
      <c r="E1007" s="51"/>
      <c r="F1007" s="51"/>
      <c r="G1007" s="18"/>
      <c r="H1007" s="261"/>
    </row>
    <row r="1008" spans="1:8" s="46" customFormat="1" hidden="1" x14ac:dyDescent="0.25">
      <c r="A1008" s="68">
        <v>1</v>
      </c>
      <c r="B1008" s="24" t="s">
        <v>18</v>
      </c>
      <c r="C1008" s="207"/>
      <c r="D1008" s="3">
        <v>50</v>
      </c>
      <c r="E1008" s="51"/>
      <c r="F1008" s="51"/>
      <c r="G1008" s="18"/>
      <c r="H1008" s="261"/>
    </row>
    <row r="1009" spans="1:8" s="46" customFormat="1" hidden="1" x14ac:dyDescent="0.25">
      <c r="A1009" s="68">
        <v>1</v>
      </c>
      <c r="B1009" s="24" t="s">
        <v>16</v>
      </c>
      <c r="C1009" s="207"/>
      <c r="D1009" s="3">
        <v>70</v>
      </c>
      <c r="E1009" s="51"/>
      <c r="F1009" s="51"/>
      <c r="G1009" s="18"/>
      <c r="H1009" s="261"/>
    </row>
    <row r="1010" spans="1:8" s="46" customFormat="1" ht="30" hidden="1" x14ac:dyDescent="0.25">
      <c r="A1010" s="68">
        <v>1</v>
      </c>
      <c r="B1010" s="24" t="s">
        <v>255</v>
      </c>
      <c r="C1010" s="207"/>
      <c r="D1010" s="3">
        <v>10</v>
      </c>
      <c r="E1010" s="51"/>
      <c r="F1010" s="51"/>
      <c r="G1010" s="56"/>
      <c r="H1010" s="261"/>
    </row>
    <row r="1011" spans="1:8" hidden="1" x14ac:dyDescent="0.25">
      <c r="A1011" s="68">
        <v>1</v>
      </c>
      <c r="B1011" s="24" t="s">
        <v>231</v>
      </c>
      <c r="C1011" s="207"/>
      <c r="D1011" s="3">
        <v>10</v>
      </c>
      <c r="E1011" s="51"/>
      <c r="F1011" s="51"/>
      <c r="G1011" s="78"/>
    </row>
    <row r="1012" spans="1:8" hidden="1" x14ac:dyDescent="0.25">
      <c r="A1012" s="68">
        <v>1</v>
      </c>
      <c r="B1012" s="24" t="s">
        <v>161</v>
      </c>
      <c r="C1012" s="207"/>
      <c r="D1012" s="3">
        <v>20</v>
      </c>
      <c r="E1012" s="51"/>
      <c r="F1012" s="51"/>
      <c r="G1012" s="324"/>
    </row>
    <row r="1013" spans="1:8" s="46" customFormat="1" hidden="1" x14ac:dyDescent="0.25">
      <c r="A1013" s="68">
        <v>1</v>
      </c>
      <c r="B1013" s="24" t="s">
        <v>228</v>
      </c>
      <c r="C1013" s="207"/>
      <c r="D1013" s="3">
        <v>70</v>
      </c>
      <c r="E1013" s="51"/>
      <c r="F1013" s="51"/>
      <c r="G1013" s="56"/>
      <c r="H1013" s="261"/>
    </row>
    <row r="1014" spans="1:8" s="68" customFormat="1" ht="15.75" hidden="1" customHeight="1" x14ac:dyDescent="0.25">
      <c r="A1014" s="68">
        <v>1</v>
      </c>
      <c r="B1014" s="27" t="s">
        <v>7</v>
      </c>
      <c r="C1014" s="3"/>
      <c r="D1014" s="48"/>
      <c r="E1014" s="48"/>
      <c r="F1014" s="48"/>
      <c r="G1014" s="3"/>
      <c r="H1014" s="241"/>
    </row>
    <row r="1015" spans="1:8" s="68" customFormat="1" ht="15.75" hidden="1" customHeight="1" x14ac:dyDescent="0.25">
      <c r="A1015" s="68">
        <v>1</v>
      </c>
      <c r="B1015" s="34" t="s">
        <v>139</v>
      </c>
      <c r="C1015" s="48"/>
      <c r="D1015" s="325"/>
      <c r="E1015" s="48"/>
      <c r="F1015" s="325"/>
      <c r="G1015" s="3"/>
      <c r="H1015" s="241"/>
    </row>
    <row r="1016" spans="1:8" s="68" customFormat="1" ht="15.75" hidden="1" customHeight="1" x14ac:dyDescent="0.25">
      <c r="A1016" s="68">
        <v>1</v>
      </c>
      <c r="B1016" s="29" t="s">
        <v>8</v>
      </c>
      <c r="C1016" s="48">
        <v>300</v>
      </c>
      <c r="D1016" s="3">
        <v>20</v>
      </c>
      <c r="E1016" s="58">
        <v>6</v>
      </c>
      <c r="F1016" s="3">
        <f t="shared" ref="F1016:F1020" si="68">ROUND(G1016/C1016,0)</f>
        <v>0</v>
      </c>
      <c r="G1016" s="3">
        <f t="shared" ref="G1016:G1020" si="69">ROUND(D1016*E1016,0)</f>
        <v>120</v>
      </c>
      <c r="H1016" s="241"/>
    </row>
    <row r="1017" spans="1:8" s="68" customFormat="1" ht="15.75" hidden="1" customHeight="1" x14ac:dyDescent="0.25">
      <c r="A1017" s="68">
        <v>1</v>
      </c>
      <c r="B1017" s="29" t="s">
        <v>57</v>
      </c>
      <c r="C1017" s="48">
        <v>300</v>
      </c>
      <c r="D1017" s="3">
        <v>70</v>
      </c>
      <c r="E1017" s="58">
        <v>7</v>
      </c>
      <c r="F1017" s="3">
        <f t="shared" si="68"/>
        <v>2</v>
      </c>
      <c r="G1017" s="3">
        <f t="shared" si="69"/>
        <v>490</v>
      </c>
      <c r="H1017" s="241"/>
    </row>
    <row r="1018" spans="1:8" s="68" customFormat="1" ht="15.75" hidden="1" customHeight="1" x14ac:dyDescent="0.25">
      <c r="A1018" s="68">
        <v>1</v>
      </c>
      <c r="B1018" s="29" t="s">
        <v>21</v>
      </c>
      <c r="C1018" s="48">
        <v>300</v>
      </c>
      <c r="D1018" s="3">
        <v>50</v>
      </c>
      <c r="E1018" s="58">
        <v>7</v>
      </c>
      <c r="F1018" s="3">
        <f t="shared" si="68"/>
        <v>1</v>
      </c>
      <c r="G1018" s="3">
        <f t="shared" si="69"/>
        <v>350</v>
      </c>
      <c r="H1018" s="241"/>
    </row>
    <row r="1019" spans="1:8" s="68" customFormat="1" ht="17.25" hidden="1" customHeight="1" x14ac:dyDescent="0.25">
      <c r="A1019" s="68">
        <v>1</v>
      </c>
      <c r="B1019" s="29" t="s">
        <v>45</v>
      </c>
      <c r="C1019" s="48">
        <v>300</v>
      </c>
      <c r="D1019" s="3">
        <v>50</v>
      </c>
      <c r="E1019" s="58">
        <v>6</v>
      </c>
      <c r="F1019" s="3">
        <f t="shared" si="68"/>
        <v>1</v>
      </c>
      <c r="G1019" s="3">
        <f t="shared" si="69"/>
        <v>300</v>
      </c>
      <c r="H1019" s="241"/>
    </row>
    <row r="1020" spans="1:8" s="68" customFormat="1" ht="16.5" hidden="1" customHeight="1" x14ac:dyDescent="0.25">
      <c r="A1020" s="68">
        <v>1</v>
      </c>
      <c r="B1020" s="29" t="s">
        <v>63</v>
      </c>
      <c r="C1020" s="48">
        <v>300</v>
      </c>
      <c r="D1020" s="3">
        <v>70</v>
      </c>
      <c r="E1020" s="58">
        <v>10</v>
      </c>
      <c r="F1020" s="3">
        <f t="shared" si="68"/>
        <v>2</v>
      </c>
      <c r="G1020" s="3">
        <f t="shared" si="69"/>
        <v>700</v>
      </c>
      <c r="H1020" s="241"/>
    </row>
    <row r="1021" spans="1:8" s="68" customFormat="1" hidden="1" x14ac:dyDescent="0.25">
      <c r="A1021" s="68">
        <v>1</v>
      </c>
      <c r="B1021" s="219" t="s">
        <v>9</v>
      </c>
      <c r="C1021" s="48"/>
      <c r="D1021" s="35">
        <f>SUM(D1016:D1020)</f>
        <v>260</v>
      </c>
      <c r="E1021" s="17">
        <f>G1021/D1021</f>
        <v>7.5384615384615383</v>
      </c>
      <c r="F1021" s="326">
        <f>SUM(F1016:F1020)</f>
        <v>6</v>
      </c>
      <c r="G1021" s="18">
        <f>SUM(G1016:G1020)</f>
        <v>1960</v>
      </c>
      <c r="H1021" s="241"/>
    </row>
    <row r="1022" spans="1:8" s="68" customFormat="1" hidden="1" x14ac:dyDescent="0.25">
      <c r="A1022" s="68">
        <v>1</v>
      </c>
      <c r="B1022" s="43" t="s">
        <v>76</v>
      </c>
      <c r="C1022" s="48"/>
      <c r="D1022" s="35"/>
      <c r="E1022" s="17"/>
      <c r="F1022" s="327"/>
      <c r="G1022" s="18"/>
      <c r="H1022" s="241"/>
    </row>
    <row r="1023" spans="1:8" s="68" customFormat="1" hidden="1" x14ac:dyDescent="0.25">
      <c r="A1023" s="68">
        <v>1</v>
      </c>
      <c r="B1023" s="30" t="s">
        <v>37</v>
      </c>
      <c r="C1023" s="328">
        <v>240</v>
      </c>
      <c r="D1023" s="45">
        <f>760+150</f>
        <v>910</v>
      </c>
      <c r="E1023" s="92">
        <v>8</v>
      </c>
      <c r="F1023" s="3">
        <f>ROUND(G1023/C1023,0)</f>
        <v>30</v>
      </c>
      <c r="G1023" s="3">
        <f>ROUND(D1023*E1023,0)</f>
        <v>7280</v>
      </c>
      <c r="H1023" s="241"/>
    </row>
    <row r="1024" spans="1:8" s="68" customFormat="1" hidden="1" x14ac:dyDescent="0.25">
      <c r="A1024" s="68">
        <v>1</v>
      </c>
      <c r="B1024" s="4" t="s">
        <v>74</v>
      </c>
      <c r="C1024" s="328">
        <v>240</v>
      </c>
      <c r="D1024" s="45">
        <v>60</v>
      </c>
      <c r="E1024" s="329">
        <v>3</v>
      </c>
      <c r="F1024" s="3">
        <f>ROUND(G1024/C1024,0)</f>
        <v>1</v>
      </c>
      <c r="G1024" s="3">
        <f>ROUND(D1024*E1024,0)</f>
        <v>180</v>
      </c>
      <c r="H1024" s="241"/>
    </row>
    <row r="1025" spans="1:8" s="68" customFormat="1" hidden="1" x14ac:dyDescent="0.25">
      <c r="A1025" s="68">
        <v>1</v>
      </c>
      <c r="B1025" s="330" t="s">
        <v>23</v>
      </c>
      <c r="C1025" s="328">
        <v>240</v>
      </c>
      <c r="D1025" s="45">
        <v>15</v>
      </c>
      <c r="E1025" s="329">
        <v>3</v>
      </c>
      <c r="F1025" s="3">
        <f t="shared" ref="F1025:F1026" si="70">ROUND(G1025/C1025,0)</f>
        <v>0</v>
      </c>
      <c r="G1025" s="3">
        <f t="shared" ref="G1025:G1026" si="71">ROUND(D1025*E1025,0)</f>
        <v>45</v>
      </c>
      <c r="H1025" s="241"/>
    </row>
    <row r="1026" spans="1:8" s="68" customFormat="1" hidden="1" x14ac:dyDescent="0.25">
      <c r="A1026" s="68">
        <v>1</v>
      </c>
      <c r="B1026" s="330" t="s">
        <v>57</v>
      </c>
      <c r="C1026" s="328">
        <v>240</v>
      </c>
      <c r="D1026" s="45">
        <f>350-150</f>
        <v>200</v>
      </c>
      <c r="E1026" s="329">
        <v>8</v>
      </c>
      <c r="F1026" s="3">
        <f t="shared" si="70"/>
        <v>7</v>
      </c>
      <c r="G1026" s="3">
        <f t="shared" si="71"/>
        <v>1600</v>
      </c>
      <c r="H1026" s="241"/>
    </row>
    <row r="1027" spans="1:8" s="68" customFormat="1" hidden="1" x14ac:dyDescent="0.25">
      <c r="A1027" s="68">
        <v>1</v>
      </c>
      <c r="B1027" s="331" t="s">
        <v>141</v>
      </c>
      <c r="C1027" s="328"/>
      <c r="D1027" s="93">
        <f>SUM(D1023:D1026)</f>
        <v>1185</v>
      </c>
      <c r="E1027" s="17">
        <f t="shared" ref="E1027:E1028" si="72">G1027/D1027</f>
        <v>7.6835443037974684</v>
      </c>
      <c r="F1027" s="93">
        <f t="shared" ref="F1027:G1027" si="73">SUM(F1023:F1026)</f>
        <v>38</v>
      </c>
      <c r="G1027" s="93">
        <f t="shared" si="73"/>
        <v>9105</v>
      </c>
      <c r="H1027" s="241"/>
    </row>
    <row r="1028" spans="1:8" s="68" customFormat="1" ht="18" hidden="1" customHeight="1" x14ac:dyDescent="0.25">
      <c r="A1028" s="68">
        <v>1</v>
      </c>
      <c r="B1028" s="332" t="s">
        <v>116</v>
      </c>
      <c r="C1028" s="328"/>
      <c r="D1028" s="18">
        <f>D1021+D1027</f>
        <v>1445</v>
      </c>
      <c r="E1028" s="17">
        <f t="shared" si="72"/>
        <v>7.6574394463667819</v>
      </c>
      <c r="F1028" s="18">
        <f>F1021+F1027</f>
        <v>44</v>
      </c>
      <c r="G1028" s="56">
        <f>G1021+G1027</f>
        <v>11065</v>
      </c>
      <c r="H1028" s="241"/>
    </row>
    <row r="1029" spans="1:8" s="68" customFormat="1" ht="34.5" hidden="1" customHeight="1" x14ac:dyDescent="0.25">
      <c r="B1029" s="32" t="s">
        <v>166</v>
      </c>
      <c r="C1029" s="328"/>
      <c r="D1029" s="333">
        <v>2385</v>
      </c>
      <c r="E1029" s="17"/>
      <c r="F1029" s="18"/>
      <c r="G1029" s="18"/>
      <c r="H1029" s="241"/>
    </row>
    <row r="1030" spans="1:8" s="68" customFormat="1" ht="34.5" hidden="1" customHeight="1" x14ac:dyDescent="0.25">
      <c r="B1030" s="32" t="s">
        <v>165</v>
      </c>
      <c r="C1030" s="328"/>
      <c r="D1030" s="333">
        <v>1200</v>
      </c>
      <c r="E1030" s="17"/>
      <c r="F1030" s="18"/>
      <c r="G1030" s="18"/>
      <c r="H1030" s="241"/>
    </row>
    <row r="1031" spans="1:8" s="68" customFormat="1" ht="30" hidden="1" customHeight="1" x14ac:dyDescent="0.25">
      <c r="A1031" s="68">
        <v>1</v>
      </c>
      <c r="B1031" s="32" t="s">
        <v>191</v>
      </c>
      <c r="C1031" s="91"/>
      <c r="D1031" s="333">
        <v>5</v>
      </c>
      <c r="E1031" s="334"/>
      <c r="F1031" s="35"/>
      <c r="G1031" s="35"/>
      <c r="H1031" s="241"/>
    </row>
    <row r="1032" spans="1:8" ht="15.75" hidden="1" thickBot="1" x14ac:dyDescent="0.3">
      <c r="A1032" s="68">
        <v>1</v>
      </c>
      <c r="B1032" s="335" t="s">
        <v>10</v>
      </c>
      <c r="C1032" s="336"/>
      <c r="D1032" s="337"/>
      <c r="E1032" s="337"/>
      <c r="F1032" s="337"/>
      <c r="G1032" s="337"/>
    </row>
    <row r="1033" spans="1:8" hidden="1" x14ac:dyDescent="0.25">
      <c r="A1033" s="68">
        <v>1</v>
      </c>
      <c r="B1033" s="78"/>
      <c r="C1033" s="624"/>
      <c r="D1033" s="3"/>
      <c r="E1033" s="3"/>
      <c r="F1033" s="3"/>
      <c r="G1033" s="3"/>
    </row>
    <row r="1034" spans="1:8" ht="42" hidden="1" customHeight="1" x14ac:dyDescent="0.25">
      <c r="A1034" s="68">
        <v>1</v>
      </c>
      <c r="B1034" s="62" t="s">
        <v>202</v>
      </c>
      <c r="C1034" s="79"/>
      <c r="D1034" s="3"/>
      <c r="E1034" s="3"/>
      <c r="F1034" s="3"/>
      <c r="G1034" s="3"/>
    </row>
    <row r="1035" spans="1:8" s="46" customFormat="1" ht="18.75" hidden="1" customHeight="1" x14ac:dyDescent="0.25">
      <c r="A1035" s="68">
        <v>1</v>
      </c>
      <c r="B1035" s="21" t="s">
        <v>205</v>
      </c>
      <c r="C1035" s="21"/>
      <c r="D1035" s="74"/>
      <c r="E1035" s="45"/>
      <c r="F1035" s="45"/>
      <c r="G1035" s="45"/>
      <c r="H1035" s="261"/>
    </row>
    <row r="1036" spans="1:8" s="46" customFormat="1" ht="36" hidden="1" customHeight="1" x14ac:dyDescent="0.25">
      <c r="A1036" s="68">
        <v>1</v>
      </c>
      <c r="B1036" s="23" t="s">
        <v>322</v>
      </c>
      <c r="C1036" s="47"/>
      <c r="D1036" s="45">
        <f>SUM(D1038,D1039,D1041)+D1037/2.7</f>
        <v>2012.962962962963</v>
      </c>
      <c r="E1036" s="45"/>
      <c r="F1036" s="45"/>
      <c r="G1036" s="45"/>
      <c r="H1036" s="261"/>
    </row>
    <row r="1037" spans="1:8" s="46" customFormat="1" ht="27.75" hidden="1" customHeight="1" x14ac:dyDescent="0.25">
      <c r="A1037" s="68">
        <v>1</v>
      </c>
      <c r="B1037" s="23" t="s">
        <v>286</v>
      </c>
      <c r="C1037" s="28"/>
      <c r="D1037" s="3">
        <f>175+130</f>
        <v>305</v>
      </c>
      <c r="E1037" s="28"/>
      <c r="F1037" s="28"/>
      <c r="G1037" s="28"/>
      <c r="H1037" s="261"/>
    </row>
    <row r="1038" spans="1:8" s="46" customFormat="1" hidden="1" x14ac:dyDescent="0.25">
      <c r="A1038" s="68">
        <v>1</v>
      </c>
      <c r="B1038" s="48" t="s">
        <v>206</v>
      </c>
      <c r="C1038" s="47"/>
      <c r="D1038" s="45"/>
      <c r="E1038" s="45"/>
      <c r="F1038" s="45"/>
      <c r="G1038" s="45"/>
      <c r="H1038" s="261"/>
    </row>
    <row r="1039" spans="1:8" s="46" customFormat="1" ht="17.25" hidden="1" customHeight="1" x14ac:dyDescent="0.25">
      <c r="A1039" s="68">
        <v>1</v>
      </c>
      <c r="B1039" s="48" t="s">
        <v>207</v>
      </c>
      <c r="C1039" s="47"/>
      <c r="D1039" s="3">
        <v>100</v>
      </c>
      <c r="E1039" s="45"/>
      <c r="F1039" s="45"/>
      <c r="G1039" s="45"/>
      <c r="H1039" s="261"/>
    </row>
    <row r="1040" spans="1:8" s="46" customFormat="1" ht="30" hidden="1" x14ac:dyDescent="0.25">
      <c r="A1040" s="68">
        <v>1</v>
      </c>
      <c r="B1040" s="48" t="s">
        <v>208</v>
      </c>
      <c r="C1040" s="47"/>
      <c r="D1040" s="3"/>
      <c r="E1040" s="45"/>
      <c r="F1040" s="45"/>
      <c r="G1040" s="45"/>
      <c r="H1040" s="261"/>
    </row>
    <row r="1041" spans="1:8" s="46" customFormat="1" hidden="1" x14ac:dyDescent="0.25">
      <c r="A1041" s="68">
        <v>1</v>
      </c>
      <c r="B1041" s="23" t="s">
        <v>209</v>
      </c>
      <c r="C1041" s="47"/>
      <c r="D1041" s="3">
        <v>1800</v>
      </c>
      <c r="E1041" s="45"/>
      <c r="F1041" s="45"/>
      <c r="G1041" s="45"/>
      <c r="H1041" s="261"/>
    </row>
    <row r="1042" spans="1:8" s="46" customFormat="1" ht="45" hidden="1" x14ac:dyDescent="0.25">
      <c r="A1042" s="68">
        <v>1</v>
      </c>
      <c r="B1042" s="23" t="s">
        <v>285</v>
      </c>
      <c r="C1042" s="47"/>
      <c r="D1042" s="13">
        <v>0</v>
      </c>
      <c r="E1042" s="45"/>
      <c r="F1042" s="45"/>
      <c r="G1042" s="45"/>
      <c r="H1042" s="261"/>
    </row>
    <row r="1043" spans="1:8" hidden="1" x14ac:dyDescent="0.25">
      <c r="A1043" s="68">
        <v>1</v>
      </c>
      <c r="B1043" s="24" t="s">
        <v>118</v>
      </c>
      <c r="C1043" s="307"/>
      <c r="D1043" s="3">
        <f>D1044+D1045</f>
        <v>3991.1764705882351</v>
      </c>
      <c r="E1043" s="3"/>
      <c r="F1043" s="3"/>
      <c r="G1043" s="3"/>
    </row>
    <row r="1044" spans="1:8" hidden="1" x14ac:dyDescent="0.25">
      <c r="A1044" s="68">
        <v>1</v>
      </c>
      <c r="B1044" s="24" t="s">
        <v>259</v>
      </c>
      <c r="C1044" s="307"/>
      <c r="D1044" s="3">
        <v>3600</v>
      </c>
      <c r="E1044" s="3"/>
      <c r="F1044" s="3"/>
      <c r="G1044" s="3"/>
    </row>
    <row r="1045" spans="1:8" hidden="1" x14ac:dyDescent="0.25">
      <c r="A1045" s="68">
        <v>1</v>
      </c>
      <c r="B1045" s="24" t="s">
        <v>261</v>
      </c>
      <c r="C1045" s="307"/>
      <c r="D1045" s="13">
        <f>D1046/8.5</f>
        <v>391.1764705882353</v>
      </c>
      <c r="E1045" s="3"/>
      <c r="F1045" s="3"/>
      <c r="G1045" s="3"/>
    </row>
    <row r="1046" spans="1:8" s="46" customFormat="1" hidden="1" x14ac:dyDescent="0.25">
      <c r="A1046" s="68">
        <v>1</v>
      </c>
      <c r="B1046" s="44" t="s">
        <v>260</v>
      </c>
      <c r="C1046" s="262"/>
      <c r="D1046" s="3">
        <v>3325</v>
      </c>
      <c r="E1046" s="45"/>
      <c r="F1046" s="45"/>
      <c r="G1046" s="45"/>
      <c r="H1046" s="261"/>
    </row>
    <row r="1047" spans="1:8" s="46" customFormat="1" ht="15.75" hidden="1" customHeight="1" x14ac:dyDescent="0.25">
      <c r="A1047" s="68">
        <v>1</v>
      </c>
      <c r="B1047" s="49" t="s">
        <v>210</v>
      </c>
      <c r="C1047" s="50"/>
      <c r="D1047" s="47">
        <f>D1036+ROUND(D1044*3.2,0)+D1046/3.9</f>
        <v>14385.527065527065</v>
      </c>
      <c r="E1047" s="51"/>
      <c r="F1047" s="51"/>
      <c r="G1047" s="56"/>
      <c r="H1047" s="261"/>
    </row>
    <row r="1048" spans="1:8" s="46" customFormat="1" ht="15.75" hidden="1" customHeight="1" x14ac:dyDescent="0.25">
      <c r="A1048" s="68">
        <v>1</v>
      </c>
      <c r="B1048" s="21" t="s">
        <v>153</v>
      </c>
      <c r="C1048" s="22"/>
      <c r="D1048" s="3"/>
      <c r="E1048" s="51"/>
      <c r="F1048" s="51"/>
      <c r="G1048" s="56"/>
      <c r="H1048" s="261"/>
    </row>
    <row r="1049" spans="1:8" s="46" customFormat="1" ht="30" hidden="1" x14ac:dyDescent="0.25">
      <c r="A1049" s="68">
        <v>1</v>
      </c>
      <c r="B1049" s="23" t="s">
        <v>322</v>
      </c>
      <c r="C1049" s="22"/>
      <c r="D1049" s="3">
        <f>SUM(D1050,D1051,D1058,D1064,D1065,D1066)</f>
        <v>961</v>
      </c>
      <c r="E1049" s="51"/>
      <c r="F1049" s="51"/>
      <c r="G1049" s="56"/>
      <c r="H1049" s="261"/>
    </row>
    <row r="1050" spans="1:8" s="46" customFormat="1" ht="15.75" hidden="1" customHeight="1" x14ac:dyDescent="0.25">
      <c r="A1050" s="68">
        <v>1</v>
      </c>
      <c r="B1050" s="23" t="s">
        <v>206</v>
      </c>
      <c r="C1050" s="22"/>
      <c r="D1050" s="3"/>
      <c r="E1050" s="51"/>
      <c r="F1050" s="51"/>
      <c r="G1050" s="56"/>
      <c r="H1050" s="261"/>
    </row>
    <row r="1051" spans="1:8" s="46" customFormat="1" ht="15.75" hidden="1" customHeight="1" x14ac:dyDescent="0.25">
      <c r="A1051" s="68">
        <v>1</v>
      </c>
      <c r="B1051" s="48" t="s">
        <v>211</v>
      </c>
      <c r="C1051" s="22"/>
      <c r="D1051" s="3">
        <f>D1052+D1053+D1054+D1056</f>
        <v>561</v>
      </c>
      <c r="E1051" s="51"/>
      <c r="F1051" s="51"/>
      <c r="G1051" s="56"/>
      <c r="H1051" s="261"/>
    </row>
    <row r="1052" spans="1:8" s="46" customFormat="1" ht="19.5" hidden="1" customHeight="1" x14ac:dyDescent="0.25">
      <c r="A1052" s="68">
        <v>1</v>
      </c>
      <c r="B1052" s="52" t="s">
        <v>212</v>
      </c>
      <c r="C1052" s="22"/>
      <c r="D1052" s="45">
        <f>691-291</f>
        <v>400</v>
      </c>
      <c r="E1052" s="51"/>
      <c r="F1052" s="51"/>
      <c r="G1052" s="56"/>
      <c r="H1052" s="261"/>
    </row>
    <row r="1053" spans="1:8" s="46" customFormat="1" ht="15.75" hidden="1" customHeight="1" x14ac:dyDescent="0.25">
      <c r="A1053" s="68">
        <v>1</v>
      </c>
      <c r="B1053" s="52" t="s">
        <v>213</v>
      </c>
      <c r="C1053" s="22"/>
      <c r="D1053" s="45">
        <v>161</v>
      </c>
      <c r="E1053" s="51"/>
      <c r="F1053" s="51"/>
      <c r="G1053" s="56"/>
      <c r="H1053" s="261"/>
    </row>
    <row r="1054" spans="1:8" s="46" customFormat="1" ht="30.75" hidden="1" customHeight="1" x14ac:dyDescent="0.25">
      <c r="A1054" s="68">
        <v>1</v>
      </c>
      <c r="B1054" s="52" t="s">
        <v>214</v>
      </c>
      <c r="C1054" s="22"/>
      <c r="D1054" s="45"/>
      <c r="E1054" s="51"/>
      <c r="F1054" s="51"/>
      <c r="G1054" s="56"/>
      <c r="H1054" s="261"/>
    </row>
    <row r="1055" spans="1:8" s="46" customFormat="1" hidden="1" x14ac:dyDescent="0.25">
      <c r="A1055" s="68">
        <v>1</v>
      </c>
      <c r="B1055" s="52" t="s">
        <v>215</v>
      </c>
      <c r="C1055" s="22"/>
      <c r="D1055" s="45"/>
      <c r="E1055" s="51"/>
      <c r="F1055" s="51"/>
      <c r="G1055" s="56"/>
      <c r="H1055" s="261"/>
    </row>
    <row r="1056" spans="1:8" s="46" customFormat="1" ht="30" hidden="1" x14ac:dyDescent="0.25">
      <c r="A1056" s="68">
        <v>1</v>
      </c>
      <c r="B1056" s="52" t="s">
        <v>216</v>
      </c>
      <c r="C1056" s="22"/>
      <c r="D1056" s="45"/>
      <c r="E1056" s="51"/>
      <c r="F1056" s="51"/>
      <c r="G1056" s="56"/>
      <c r="H1056" s="261"/>
    </row>
    <row r="1057" spans="1:8" s="46" customFormat="1" hidden="1" x14ac:dyDescent="0.25">
      <c r="A1057" s="68">
        <v>1</v>
      </c>
      <c r="B1057" s="52" t="s">
        <v>215</v>
      </c>
      <c r="C1057" s="22"/>
      <c r="D1057" s="76"/>
      <c r="E1057" s="51"/>
      <c r="F1057" s="51"/>
      <c r="G1057" s="56"/>
      <c r="H1057" s="261"/>
    </row>
    <row r="1058" spans="1:8" s="46" customFormat="1" ht="30" hidden="1" customHeight="1" x14ac:dyDescent="0.25">
      <c r="A1058" s="68">
        <v>1</v>
      </c>
      <c r="B1058" s="48" t="s">
        <v>217</v>
      </c>
      <c r="C1058" s="22"/>
      <c r="D1058" s="3">
        <f>SUM(D1059,D1060,D1062)</f>
        <v>400</v>
      </c>
      <c r="E1058" s="51"/>
      <c r="F1058" s="51"/>
      <c r="G1058" s="56"/>
      <c r="H1058" s="261"/>
    </row>
    <row r="1059" spans="1:8" s="46" customFormat="1" ht="30" hidden="1" x14ac:dyDescent="0.25">
      <c r="A1059" s="68">
        <v>1</v>
      </c>
      <c r="B1059" s="52" t="s">
        <v>218</v>
      </c>
      <c r="C1059" s="22"/>
      <c r="D1059" s="3">
        <v>400</v>
      </c>
      <c r="E1059" s="51"/>
      <c r="F1059" s="51"/>
      <c r="G1059" s="56"/>
      <c r="H1059" s="261"/>
    </row>
    <row r="1060" spans="1:8" s="46" customFormat="1" ht="45" hidden="1" x14ac:dyDescent="0.25">
      <c r="A1060" s="68">
        <v>1</v>
      </c>
      <c r="B1060" s="52" t="s">
        <v>219</v>
      </c>
      <c r="C1060" s="22"/>
      <c r="D1060" s="42"/>
      <c r="E1060" s="51"/>
      <c r="F1060" s="51"/>
      <c r="G1060" s="56"/>
      <c r="H1060" s="261"/>
    </row>
    <row r="1061" spans="1:8" s="46" customFormat="1" hidden="1" x14ac:dyDescent="0.25">
      <c r="A1061" s="68">
        <v>1</v>
      </c>
      <c r="B1061" s="52" t="s">
        <v>215</v>
      </c>
      <c r="C1061" s="22"/>
      <c r="D1061" s="42"/>
      <c r="E1061" s="51"/>
      <c r="F1061" s="51"/>
      <c r="G1061" s="56"/>
      <c r="H1061" s="261"/>
    </row>
    <row r="1062" spans="1:8" s="46" customFormat="1" ht="45" hidden="1" x14ac:dyDescent="0.25">
      <c r="A1062" s="68">
        <v>1</v>
      </c>
      <c r="B1062" s="52" t="s">
        <v>220</v>
      </c>
      <c r="C1062" s="22"/>
      <c r="D1062" s="42"/>
      <c r="E1062" s="51"/>
      <c r="F1062" s="51"/>
      <c r="G1062" s="56"/>
      <c r="H1062" s="261"/>
    </row>
    <row r="1063" spans="1:8" s="46" customFormat="1" hidden="1" x14ac:dyDescent="0.25">
      <c r="A1063" s="68">
        <v>1</v>
      </c>
      <c r="B1063" s="52" t="s">
        <v>215</v>
      </c>
      <c r="C1063" s="22"/>
      <c r="D1063" s="42"/>
      <c r="E1063" s="51"/>
      <c r="F1063" s="51"/>
      <c r="G1063" s="56"/>
      <c r="H1063" s="261"/>
    </row>
    <row r="1064" spans="1:8" s="46" customFormat="1" ht="31.5" hidden="1" customHeight="1" x14ac:dyDescent="0.25">
      <c r="A1064" s="68">
        <v>1</v>
      </c>
      <c r="B1064" s="48" t="s">
        <v>221</v>
      </c>
      <c r="C1064" s="22"/>
      <c r="D1064" s="3"/>
      <c r="E1064" s="51"/>
      <c r="F1064" s="51"/>
      <c r="G1064" s="56"/>
      <c r="H1064" s="261"/>
    </row>
    <row r="1065" spans="1:8" s="46" customFormat="1" ht="15.75" hidden="1" customHeight="1" x14ac:dyDescent="0.25">
      <c r="A1065" s="68">
        <v>1</v>
      </c>
      <c r="B1065" s="48" t="s">
        <v>222</v>
      </c>
      <c r="C1065" s="22"/>
      <c r="D1065" s="3"/>
      <c r="E1065" s="51"/>
      <c r="F1065" s="51"/>
      <c r="G1065" s="56"/>
      <c r="H1065" s="261"/>
    </row>
    <row r="1066" spans="1:8" s="46" customFormat="1" ht="15.75" hidden="1" customHeight="1" x14ac:dyDescent="0.25">
      <c r="A1066" s="68">
        <v>1</v>
      </c>
      <c r="B1066" s="23" t="s">
        <v>223</v>
      </c>
      <c r="C1066" s="22"/>
      <c r="D1066" s="3"/>
      <c r="E1066" s="51"/>
      <c r="F1066" s="51"/>
      <c r="G1066" s="56"/>
      <c r="H1066" s="261"/>
    </row>
    <row r="1067" spans="1:8" s="46" customFormat="1" hidden="1" x14ac:dyDescent="0.25">
      <c r="A1067" s="68">
        <v>1</v>
      </c>
      <c r="B1067" s="24" t="s">
        <v>118</v>
      </c>
      <c r="C1067" s="47"/>
      <c r="D1067" s="45"/>
      <c r="E1067" s="51"/>
      <c r="F1067" s="51"/>
      <c r="G1067" s="56"/>
      <c r="H1067" s="261"/>
    </row>
    <row r="1068" spans="1:8" s="46" customFormat="1" hidden="1" x14ac:dyDescent="0.25">
      <c r="A1068" s="68">
        <v>1</v>
      </c>
      <c r="B1068" s="44" t="s">
        <v>150</v>
      </c>
      <c r="C1068" s="47"/>
      <c r="D1068" s="76"/>
      <c r="E1068" s="51"/>
      <c r="F1068" s="51"/>
      <c r="G1068" s="56"/>
      <c r="H1068" s="261"/>
    </row>
    <row r="1069" spans="1:8" ht="30" hidden="1" x14ac:dyDescent="0.25">
      <c r="A1069" s="68">
        <v>1</v>
      </c>
      <c r="B1069" s="24" t="s">
        <v>119</v>
      </c>
      <c r="C1069" s="22"/>
      <c r="D1069" s="3">
        <v>150</v>
      </c>
      <c r="E1069" s="3"/>
      <c r="F1069" s="3"/>
      <c r="G1069" s="3"/>
    </row>
    <row r="1070" spans="1:8" s="46" customFormat="1" ht="15.75" hidden="1" customHeight="1" x14ac:dyDescent="0.25">
      <c r="A1070" s="68">
        <v>1</v>
      </c>
      <c r="B1070" s="24" t="s">
        <v>224</v>
      </c>
      <c r="C1070" s="22"/>
      <c r="D1070" s="3"/>
      <c r="E1070" s="51"/>
      <c r="F1070" s="51"/>
      <c r="G1070" s="56"/>
      <c r="H1070" s="261"/>
    </row>
    <row r="1071" spans="1:8" s="46" customFormat="1" hidden="1" x14ac:dyDescent="0.25">
      <c r="A1071" s="68">
        <v>1</v>
      </c>
      <c r="B1071" s="53"/>
      <c r="C1071" s="22"/>
      <c r="D1071" s="3"/>
      <c r="E1071" s="51"/>
      <c r="F1071" s="51"/>
      <c r="G1071" s="56"/>
      <c r="H1071" s="261"/>
    </row>
    <row r="1072" spans="1:8" s="46" customFormat="1" hidden="1" x14ac:dyDescent="0.25">
      <c r="A1072" s="68">
        <v>1</v>
      </c>
      <c r="B1072" s="54" t="s">
        <v>152</v>
      </c>
      <c r="C1072" s="22"/>
      <c r="D1072" s="18">
        <f>D1049+ROUND(D1067*3.2,0)+D1069</f>
        <v>1111</v>
      </c>
      <c r="E1072" s="51"/>
      <c r="F1072" s="51"/>
      <c r="G1072" s="56"/>
      <c r="H1072" s="261"/>
    </row>
    <row r="1073" spans="1:8" s="46" customFormat="1" hidden="1" x14ac:dyDescent="0.25">
      <c r="A1073" s="68">
        <v>1</v>
      </c>
      <c r="B1073" s="55" t="s">
        <v>151</v>
      </c>
      <c r="C1073" s="22"/>
      <c r="D1073" s="18">
        <f>SUM(D1047,D1072)</f>
        <v>15496.527065527065</v>
      </c>
      <c r="E1073" s="51"/>
      <c r="F1073" s="51"/>
      <c r="G1073" s="56"/>
      <c r="H1073" s="261"/>
    </row>
    <row r="1074" spans="1:8" ht="16.5" hidden="1" customHeight="1" x14ac:dyDescent="0.25">
      <c r="A1074" s="68">
        <v>1</v>
      </c>
      <c r="B1074" s="34" t="s">
        <v>7</v>
      </c>
      <c r="C1074" s="307"/>
      <c r="D1074" s="18"/>
      <c r="E1074" s="3"/>
      <c r="F1074" s="3"/>
      <c r="G1074" s="3"/>
    </row>
    <row r="1075" spans="1:8" ht="15.75" hidden="1" customHeight="1" x14ac:dyDescent="0.25">
      <c r="A1075" s="68">
        <v>1</v>
      </c>
      <c r="B1075" s="43" t="s">
        <v>76</v>
      </c>
      <c r="C1075" s="307"/>
      <c r="D1075" s="18"/>
      <c r="E1075" s="3"/>
      <c r="F1075" s="3"/>
      <c r="G1075" s="3"/>
    </row>
    <row r="1076" spans="1:8" hidden="1" x14ac:dyDescent="0.25">
      <c r="A1076" s="68">
        <v>1</v>
      </c>
      <c r="B1076" s="30" t="s">
        <v>37</v>
      </c>
      <c r="C1076" s="2">
        <v>240</v>
      </c>
      <c r="D1076" s="3">
        <v>110</v>
      </c>
      <c r="E1076" s="338">
        <v>8</v>
      </c>
      <c r="F1076" s="3">
        <f>G1076/C1076</f>
        <v>3.6666666666666665</v>
      </c>
      <c r="G1076" s="3">
        <f>ROUND(D1076*E1076,0)</f>
        <v>880</v>
      </c>
    </row>
    <row r="1077" spans="1:8" hidden="1" x14ac:dyDescent="0.25">
      <c r="A1077" s="68">
        <v>1</v>
      </c>
      <c r="B1077" s="30" t="s">
        <v>57</v>
      </c>
      <c r="C1077" s="2">
        <v>240</v>
      </c>
      <c r="D1077" s="3">
        <v>190</v>
      </c>
      <c r="E1077" s="338">
        <v>8</v>
      </c>
      <c r="F1077" s="3">
        <f>G1077/C1077</f>
        <v>6.333333333333333</v>
      </c>
      <c r="G1077" s="3">
        <f>ROUND(D1077*E1077,0)</f>
        <v>1520</v>
      </c>
    </row>
    <row r="1078" spans="1:8" ht="18" hidden="1" customHeight="1" x14ac:dyDescent="0.25">
      <c r="A1078" s="68">
        <v>1</v>
      </c>
      <c r="B1078" s="219" t="s">
        <v>141</v>
      </c>
      <c r="C1078" s="2"/>
      <c r="D1078" s="35">
        <f>SUM(D1076:D1077)</f>
        <v>300</v>
      </c>
      <c r="E1078" s="17">
        <f t="shared" ref="E1078:E1079" si="74">G1078/D1078</f>
        <v>8</v>
      </c>
      <c r="F1078" s="35">
        <f>SUM(F1076:F1077)</f>
        <v>10</v>
      </c>
      <c r="G1078" s="35">
        <f>SUM(G1076:G1077)</f>
        <v>2400</v>
      </c>
    </row>
    <row r="1079" spans="1:8" ht="18" hidden="1" customHeight="1" x14ac:dyDescent="0.25">
      <c r="A1079" s="68">
        <v>1</v>
      </c>
      <c r="B1079" s="298" t="s">
        <v>116</v>
      </c>
      <c r="C1079" s="2"/>
      <c r="D1079" s="294">
        <f t="shared" ref="D1079" si="75">D1078</f>
        <v>300</v>
      </c>
      <c r="E1079" s="17">
        <f t="shared" si="74"/>
        <v>8</v>
      </c>
      <c r="F1079" s="294">
        <f>F1078</f>
        <v>10</v>
      </c>
      <c r="G1079" s="294">
        <f t="shared" ref="G1079" si="76">G1078</f>
        <v>2400</v>
      </c>
    </row>
    <row r="1080" spans="1:8" ht="15.75" hidden="1" thickBot="1" x14ac:dyDescent="0.3">
      <c r="A1080" s="68">
        <v>1</v>
      </c>
      <c r="B1080" s="270" t="s">
        <v>10</v>
      </c>
      <c r="C1080" s="270"/>
      <c r="D1080" s="339"/>
      <c r="E1080" s="339"/>
      <c r="F1080" s="339"/>
      <c r="G1080" s="339"/>
    </row>
    <row r="1081" spans="1:8" ht="26.25" hidden="1" customHeight="1" x14ac:dyDescent="0.25">
      <c r="A1081" s="68">
        <v>1</v>
      </c>
      <c r="B1081" s="673" t="s">
        <v>264</v>
      </c>
      <c r="C1081" s="674"/>
      <c r="D1081" s="340"/>
      <c r="E1081" s="340"/>
      <c r="F1081" s="340"/>
      <c r="G1081" s="340"/>
    </row>
    <row r="1082" spans="1:8" ht="18" hidden="1" customHeight="1" x14ac:dyDescent="0.25">
      <c r="A1082" s="68">
        <v>1</v>
      </c>
      <c r="B1082" s="69" t="s">
        <v>4</v>
      </c>
      <c r="C1082" s="341"/>
      <c r="D1082" s="3"/>
      <c r="E1082" s="3"/>
      <c r="F1082" s="3"/>
      <c r="G1082" s="3"/>
    </row>
    <row r="1083" spans="1:8" hidden="1" x14ac:dyDescent="0.25">
      <c r="A1083" s="68">
        <v>1</v>
      </c>
      <c r="B1083" s="59" t="s">
        <v>21</v>
      </c>
      <c r="C1083" s="90">
        <v>340</v>
      </c>
      <c r="D1083" s="2">
        <v>220</v>
      </c>
      <c r="E1083" s="60">
        <v>12</v>
      </c>
      <c r="F1083" s="3">
        <f>ROUND(G1083/C1083,0)</f>
        <v>8</v>
      </c>
      <c r="G1083" s="3">
        <f>ROUND(D1083*E1083,0)</f>
        <v>2640</v>
      </c>
    </row>
    <row r="1084" spans="1:8" hidden="1" x14ac:dyDescent="0.25">
      <c r="A1084" s="68">
        <v>1</v>
      </c>
      <c r="B1084" s="59" t="s">
        <v>57</v>
      </c>
      <c r="C1084" s="90">
        <v>340</v>
      </c>
      <c r="D1084" s="2">
        <v>100</v>
      </c>
      <c r="E1084" s="60">
        <v>12</v>
      </c>
      <c r="F1084" s="3">
        <f>ROUND(G1084/C1084,0)</f>
        <v>4</v>
      </c>
      <c r="G1084" s="3">
        <f>ROUND(D1084*E1084,0)</f>
        <v>1200</v>
      </c>
    </row>
    <row r="1085" spans="1:8" hidden="1" x14ac:dyDescent="0.25">
      <c r="A1085" s="68">
        <v>1</v>
      </c>
      <c r="B1085" s="59" t="s">
        <v>11</v>
      </c>
      <c r="C1085" s="90">
        <v>340</v>
      </c>
      <c r="D1085" s="2">
        <v>180</v>
      </c>
      <c r="E1085" s="60">
        <v>9</v>
      </c>
      <c r="F1085" s="3">
        <f>ROUND(G1085/C1085,0)</f>
        <v>5</v>
      </c>
      <c r="G1085" s="3">
        <f>ROUND(D1085*E1085,0)</f>
        <v>1620</v>
      </c>
    </row>
    <row r="1086" spans="1:8" hidden="1" x14ac:dyDescent="0.25">
      <c r="A1086" s="68">
        <v>1</v>
      </c>
      <c r="B1086" s="59" t="s">
        <v>58</v>
      </c>
      <c r="C1086" s="90">
        <v>340</v>
      </c>
      <c r="D1086" s="2">
        <v>40</v>
      </c>
      <c r="E1086" s="77">
        <v>13</v>
      </c>
      <c r="F1086" s="3">
        <f>ROUND(G1086/C1086,0)</f>
        <v>2</v>
      </c>
      <c r="G1086" s="3">
        <f>ROUND(D1086*E1086,0)</f>
        <v>520</v>
      </c>
    </row>
    <row r="1087" spans="1:8" ht="15.75" hidden="1" customHeight="1" x14ac:dyDescent="0.25">
      <c r="A1087" s="68">
        <v>1</v>
      </c>
      <c r="B1087" s="342" t="s">
        <v>5</v>
      </c>
      <c r="C1087" s="343">
        <v>340</v>
      </c>
      <c r="D1087" s="343">
        <f>D1083+D1084+D1085+D1086</f>
        <v>540</v>
      </c>
      <c r="E1087" s="17">
        <f t="shared" ref="E1087" si="77">G1087/D1087</f>
        <v>11.074074074074074</v>
      </c>
      <c r="F1087" s="343">
        <f>F1083+F1084+F1085+F1086</f>
        <v>19</v>
      </c>
      <c r="G1087" s="343">
        <f>G1083+G1084+G1085+G1086</f>
        <v>5980</v>
      </c>
    </row>
    <row r="1088" spans="1:8" s="46" customFormat="1" ht="18.75" hidden="1" customHeight="1" x14ac:dyDescent="0.25">
      <c r="A1088" s="68">
        <v>1</v>
      </c>
      <c r="B1088" s="21" t="s">
        <v>205</v>
      </c>
      <c r="C1088" s="21"/>
      <c r="D1088" s="74"/>
      <c r="E1088" s="45"/>
      <c r="F1088" s="45"/>
      <c r="G1088" s="45"/>
      <c r="H1088" s="261"/>
    </row>
    <row r="1089" spans="1:8" s="46" customFormat="1" ht="30" hidden="1" x14ac:dyDescent="0.25">
      <c r="A1089" s="68">
        <v>1</v>
      </c>
      <c r="B1089" s="23" t="s">
        <v>322</v>
      </c>
      <c r="C1089" s="47"/>
      <c r="D1089" s="45">
        <f>SUM(D1091,D1092,D1094)+D1090/2.7</f>
        <v>8606.2962962962956</v>
      </c>
      <c r="E1089" s="45"/>
      <c r="F1089" s="45"/>
      <c r="G1089" s="45"/>
      <c r="H1089" s="261"/>
    </row>
    <row r="1090" spans="1:8" s="46" customFormat="1" hidden="1" x14ac:dyDescent="0.25">
      <c r="A1090" s="68">
        <v>1</v>
      </c>
      <c r="B1090" s="23" t="s">
        <v>286</v>
      </c>
      <c r="C1090" s="28"/>
      <c r="D1090" s="3">
        <f>365+30</f>
        <v>395</v>
      </c>
      <c r="E1090" s="28"/>
      <c r="F1090" s="28"/>
      <c r="G1090" s="28"/>
      <c r="H1090" s="261"/>
    </row>
    <row r="1091" spans="1:8" s="46" customFormat="1" hidden="1" x14ac:dyDescent="0.25">
      <c r="A1091" s="68">
        <v>1</v>
      </c>
      <c r="B1091" s="48" t="s">
        <v>206</v>
      </c>
      <c r="C1091" s="47"/>
      <c r="D1091" s="45"/>
      <c r="E1091" s="45"/>
      <c r="F1091" s="45"/>
      <c r="G1091" s="45"/>
      <c r="H1091" s="261"/>
    </row>
    <row r="1092" spans="1:8" s="46" customFormat="1" ht="39" hidden="1" customHeight="1" x14ac:dyDescent="0.25">
      <c r="A1092" s="68">
        <v>1</v>
      </c>
      <c r="B1092" s="48" t="s">
        <v>207</v>
      </c>
      <c r="C1092" s="47"/>
      <c r="D1092" s="3">
        <v>260</v>
      </c>
      <c r="E1092" s="45"/>
      <c r="F1092" s="45"/>
      <c r="G1092" s="45"/>
      <c r="H1092" s="261"/>
    </row>
    <row r="1093" spans="1:8" s="46" customFormat="1" ht="30" hidden="1" x14ac:dyDescent="0.25">
      <c r="A1093" s="68">
        <v>1</v>
      </c>
      <c r="B1093" s="48" t="s">
        <v>208</v>
      </c>
      <c r="C1093" s="47"/>
      <c r="D1093" s="3"/>
      <c r="E1093" s="45"/>
      <c r="F1093" s="45"/>
      <c r="G1093" s="45"/>
      <c r="H1093" s="261"/>
    </row>
    <row r="1094" spans="1:8" s="46" customFormat="1" ht="15.75" hidden="1" customHeight="1" x14ac:dyDescent="0.25">
      <c r="A1094" s="68">
        <v>1</v>
      </c>
      <c r="B1094" s="23" t="s">
        <v>209</v>
      </c>
      <c r="C1094" s="47"/>
      <c r="D1094" s="3">
        <v>8200</v>
      </c>
      <c r="E1094" s="45"/>
      <c r="F1094" s="45"/>
      <c r="G1094" s="45"/>
      <c r="H1094" s="261"/>
    </row>
    <row r="1095" spans="1:8" s="46" customFormat="1" ht="48" hidden="1" customHeight="1" x14ac:dyDescent="0.25">
      <c r="A1095" s="68">
        <v>1</v>
      </c>
      <c r="B1095" s="23" t="s">
        <v>285</v>
      </c>
      <c r="C1095" s="47"/>
      <c r="D1095" s="13">
        <v>0</v>
      </c>
      <c r="E1095" s="45"/>
      <c r="F1095" s="45"/>
      <c r="G1095" s="45"/>
      <c r="H1095" s="261"/>
    </row>
    <row r="1096" spans="1:8" hidden="1" x14ac:dyDescent="0.25">
      <c r="A1096" s="68">
        <v>1</v>
      </c>
      <c r="B1096" s="24" t="s">
        <v>118</v>
      </c>
      <c r="C1096" s="22"/>
      <c r="D1096" s="3">
        <f>D1097+D1098</f>
        <v>8950.2941176470595</v>
      </c>
      <c r="E1096" s="344"/>
      <c r="F1096" s="344"/>
      <c r="G1096" s="344"/>
    </row>
    <row r="1097" spans="1:8" hidden="1" x14ac:dyDescent="0.25">
      <c r="A1097" s="68">
        <v>1</v>
      </c>
      <c r="B1097" s="24" t="s">
        <v>259</v>
      </c>
      <c r="C1097" s="207"/>
      <c r="D1097" s="3">
        <v>8005</v>
      </c>
      <c r="E1097" s="344"/>
      <c r="F1097" s="344"/>
      <c r="G1097" s="344"/>
    </row>
    <row r="1098" spans="1:8" hidden="1" x14ac:dyDescent="0.25">
      <c r="A1098" s="68">
        <v>1</v>
      </c>
      <c r="B1098" s="24" t="s">
        <v>261</v>
      </c>
      <c r="C1098" s="207"/>
      <c r="D1098" s="13">
        <f>D1099/8.5</f>
        <v>945.29411764705878</v>
      </c>
      <c r="E1098" s="344"/>
      <c r="F1098" s="344"/>
      <c r="G1098" s="344"/>
    </row>
    <row r="1099" spans="1:8" s="46" customFormat="1" hidden="1" x14ac:dyDescent="0.25">
      <c r="A1099" s="68">
        <v>1</v>
      </c>
      <c r="B1099" s="44" t="s">
        <v>260</v>
      </c>
      <c r="C1099" s="262"/>
      <c r="D1099" s="3">
        <v>8035</v>
      </c>
      <c r="E1099" s="45"/>
      <c r="F1099" s="45"/>
      <c r="G1099" s="45"/>
      <c r="H1099" s="261"/>
    </row>
    <row r="1100" spans="1:8" s="46" customFormat="1" ht="15.75" hidden="1" customHeight="1" x14ac:dyDescent="0.25">
      <c r="A1100" s="68">
        <v>1</v>
      </c>
      <c r="B1100" s="49" t="s">
        <v>210</v>
      </c>
      <c r="C1100" s="50"/>
      <c r="D1100" s="47">
        <f>D1089+ROUND(D1097*3.2,0)+D1099/3.9</f>
        <v>36282.552706552699</v>
      </c>
      <c r="E1100" s="51"/>
      <c r="F1100" s="51"/>
      <c r="G1100" s="56"/>
      <c r="H1100" s="261"/>
    </row>
    <row r="1101" spans="1:8" s="46" customFormat="1" ht="15.75" hidden="1" customHeight="1" x14ac:dyDescent="0.25">
      <c r="A1101" s="68">
        <v>1</v>
      </c>
      <c r="B1101" s="21" t="s">
        <v>153</v>
      </c>
      <c r="C1101" s="22"/>
      <c r="D1101" s="3"/>
      <c r="E1101" s="51"/>
      <c r="F1101" s="51"/>
      <c r="G1101" s="56"/>
      <c r="H1101" s="261"/>
    </row>
    <row r="1102" spans="1:8" s="46" customFormat="1" ht="30" hidden="1" x14ac:dyDescent="0.25">
      <c r="A1102" s="68">
        <v>1</v>
      </c>
      <c r="B1102" s="23" t="s">
        <v>322</v>
      </c>
      <c r="C1102" s="22"/>
      <c r="D1102" s="3">
        <f>SUM(D1103,D1104,D1111,D1117,D1118,D1119)</f>
        <v>2350</v>
      </c>
      <c r="E1102" s="51"/>
      <c r="F1102" s="51"/>
      <c r="G1102" s="56"/>
      <c r="H1102" s="261"/>
    </row>
    <row r="1103" spans="1:8" s="46" customFormat="1" ht="15.75" hidden="1" customHeight="1" x14ac:dyDescent="0.25">
      <c r="A1103" s="68">
        <v>1</v>
      </c>
      <c r="B1103" s="23" t="s">
        <v>206</v>
      </c>
      <c r="C1103" s="22"/>
      <c r="D1103" s="3"/>
      <c r="E1103" s="51"/>
      <c r="F1103" s="51"/>
      <c r="G1103" s="56"/>
      <c r="H1103" s="261"/>
    </row>
    <row r="1104" spans="1:8" s="46" customFormat="1" ht="15.75" hidden="1" customHeight="1" x14ac:dyDescent="0.25">
      <c r="A1104" s="68">
        <v>1</v>
      </c>
      <c r="B1104" s="48" t="s">
        <v>211</v>
      </c>
      <c r="C1104" s="22"/>
      <c r="D1104" s="3">
        <f>D1105+D1106+D1107+D1109</f>
        <v>1508</v>
      </c>
      <c r="E1104" s="51"/>
      <c r="F1104" s="51"/>
      <c r="G1104" s="56"/>
      <c r="H1104" s="261"/>
    </row>
    <row r="1105" spans="1:8" s="46" customFormat="1" ht="19.5" hidden="1" customHeight="1" x14ac:dyDescent="0.25">
      <c r="A1105" s="68">
        <v>1</v>
      </c>
      <c r="B1105" s="52" t="s">
        <v>212</v>
      </c>
      <c r="C1105" s="22"/>
      <c r="D1105" s="45">
        <f>2450-1500</f>
        <v>950</v>
      </c>
      <c r="E1105" s="51"/>
      <c r="F1105" s="51"/>
      <c r="G1105" s="56"/>
      <c r="H1105" s="261"/>
    </row>
    <row r="1106" spans="1:8" s="46" customFormat="1" ht="15.75" hidden="1" customHeight="1" x14ac:dyDescent="0.25">
      <c r="A1106" s="68">
        <v>1</v>
      </c>
      <c r="B1106" s="52" t="s">
        <v>213</v>
      </c>
      <c r="C1106" s="22"/>
      <c r="D1106" s="45">
        <v>558</v>
      </c>
      <c r="E1106" s="51"/>
      <c r="F1106" s="51"/>
      <c r="G1106" s="56"/>
      <c r="H1106" s="261"/>
    </row>
    <row r="1107" spans="1:8" s="46" customFormat="1" ht="30.75" hidden="1" customHeight="1" x14ac:dyDescent="0.25">
      <c r="A1107" s="68">
        <v>1</v>
      </c>
      <c r="B1107" s="52" t="s">
        <v>214</v>
      </c>
      <c r="C1107" s="22"/>
      <c r="D1107" s="45"/>
      <c r="E1107" s="51"/>
      <c r="F1107" s="51"/>
      <c r="G1107" s="56"/>
      <c r="H1107" s="261"/>
    </row>
    <row r="1108" spans="1:8" s="46" customFormat="1" hidden="1" x14ac:dyDescent="0.25">
      <c r="A1108" s="68">
        <v>1</v>
      </c>
      <c r="B1108" s="52" t="s">
        <v>215</v>
      </c>
      <c r="C1108" s="22"/>
      <c r="D1108" s="45"/>
      <c r="E1108" s="51"/>
      <c r="F1108" s="51"/>
      <c r="G1108" s="56"/>
      <c r="H1108" s="261"/>
    </row>
    <row r="1109" spans="1:8" s="46" customFormat="1" ht="30" hidden="1" x14ac:dyDescent="0.25">
      <c r="A1109" s="68">
        <v>1</v>
      </c>
      <c r="B1109" s="52" t="s">
        <v>216</v>
      </c>
      <c r="C1109" s="22"/>
      <c r="D1109" s="45"/>
      <c r="E1109" s="51"/>
      <c r="F1109" s="51"/>
      <c r="G1109" s="56"/>
      <c r="H1109" s="261"/>
    </row>
    <row r="1110" spans="1:8" s="46" customFormat="1" hidden="1" x14ac:dyDescent="0.25">
      <c r="A1110" s="68">
        <v>1</v>
      </c>
      <c r="B1110" s="52" t="s">
        <v>215</v>
      </c>
      <c r="C1110" s="22"/>
      <c r="D1110" s="76"/>
      <c r="E1110" s="51"/>
      <c r="F1110" s="51"/>
      <c r="G1110" s="56"/>
      <c r="H1110" s="261"/>
    </row>
    <row r="1111" spans="1:8" s="46" customFormat="1" ht="30" hidden="1" customHeight="1" x14ac:dyDescent="0.25">
      <c r="A1111" s="68">
        <v>1</v>
      </c>
      <c r="B1111" s="48" t="s">
        <v>217</v>
      </c>
      <c r="C1111" s="22"/>
      <c r="D1111" s="3">
        <f>SUM(D1112,D1113,D1115)</f>
        <v>842</v>
      </c>
      <c r="E1111" s="51"/>
      <c r="F1111" s="51"/>
      <c r="G1111" s="56"/>
      <c r="H1111" s="261"/>
    </row>
    <row r="1112" spans="1:8" s="46" customFormat="1" ht="30" hidden="1" x14ac:dyDescent="0.25">
      <c r="A1112" s="68">
        <v>1</v>
      </c>
      <c r="B1112" s="52" t="s">
        <v>218</v>
      </c>
      <c r="C1112" s="22"/>
      <c r="D1112" s="3">
        <v>842</v>
      </c>
      <c r="E1112" s="51"/>
      <c r="F1112" s="51"/>
      <c r="G1112" s="56"/>
      <c r="H1112" s="261"/>
    </row>
    <row r="1113" spans="1:8" s="46" customFormat="1" ht="45" hidden="1" x14ac:dyDescent="0.25">
      <c r="A1113" s="68">
        <v>1</v>
      </c>
      <c r="B1113" s="52" t="s">
        <v>219</v>
      </c>
      <c r="C1113" s="22"/>
      <c r="D1113" s="42"/>
      <c r="E1113" s="51"/>
      <c r="F1113" s="51"/>
      <c r="G1113" s="56"/>
      <c r="H1113" s="261"/>
    </row>
    <row r="1114" spans="1:8" s="46" customFormat="1" hidden="1" x14ac:dyDescent="0.25">
      <c r="A1114" s="68">
        <v>1</v>
      </c>
      <c r="B1114" s="52" t="s">
        <v>215</v>
      </c>
      <c r="C1114" s="22"/>
      <c r="D1114" s="42"/>
      <c r="E1114" s="51"/>
      <c r="F1114" s="51"/>
      <c r="G1114" s="56"/>
      <c r="H1114" s="261"/>
    </row>
    <row r="1115" spans="1:8" s="46" customFormat="1" ht="45" hidden="1" x14ac:dyDescent="0.25">
      <c r="A1115" s="68">
        <v>1</v>
      </c>
      <c r="B1115" s="52" t="s">
        <v>220</v>
      </c>
      <c r="C1115" s="22"/>
      <c r="D1115" s="42"/>
      <c r="E1115" s="51"/>
      <c r="F1115" s="51"/>
      <c r="G1115" s="56"/>
      <c r="H1115" s="261"/>
    </row>
    <row r="1116" spans="1:8" s="46" customFormat="1" hidden="1" x14ac:dyDescent="0.25">
      <c r="A1116" s="68">
        <v>1</v>
      </c>
      <c r="B1116" s="52" t="s">
        <v>215</v>
      </c>
      <c r="C1116" s="22"/>
      <c r="D1116" s="42"/>
      <c r="E1116" s="51"/>
      <c r="F1116" s="51"/>
      <c r="G1116" s="56"/>
      <c r="H1116" s="261"/>
    </row>
    <row r="1117" spans="1:8" s="46" customFormat="1" ht="31.5" hidden="1" customHeight="1" x14ac:dyDescent="0.25">
      <c r="A1117" s="68">
        <v>1</v>
      </c>
      <c r="B1117" s="48" t="s">
        <v>221</v>
      </c>
      <c r="C1117" s="22"/>
      <c r="D1117" s="3"/>
      <c r="E1117" s="51"/>
      <c r="F1117" s="51"/>
      <c r="G1117" s="56"/>
      <c r="H1117" s="261"/>
    </row>
    <row r="1118" spans="1:8" s="46" customFormat="1" ht="15.75" hidden="1" customHeight="1" x14ac:dyDescent="0.25">
      <c r="A1118" s="68">
        <v>1</v>
      </c>
      <c r="B1118" s="48" t="s">
        <v>222</v>
      </c>
      <c r="C1118" s="22"/>
      <c r="D1118" s="3"/>
      <c r="E1118" s="51"/>
      <c r="F1118" s="51"/>
      <c r="G1118" s="56"/>
      <c r="H1118" s="261"/>
    </row>
    <row r="1119" spans="1:8" s="46" customFormat="1" ht="15.75" hidden="1" customHeight="1" x14ac:dyDescent="0.25">
      <c r="A1119" s="68">
        <v>1</v>
      </c>
      <c r="B1119" s="23" t="s">
        <v>223</v>
      </c>
      <c r="C1119" s="22"/>
      <c r="D1119" s="3"/>
      <c r="E1119" s="51"/>
      <c r="F1119" s="51"/>
      <c r="G1119" s="56"/>
      <c r="H1119" s="261"/>
    </row>
    <row r="1120" spans="1:8" s="46" customFormat="1" hidden="1" x14ac:dyDescent="0.25">
      <c r="A1120" s="68">
        <v>1</v>
      </c>
      <c r="B1120" s="24" t="s">
        <v>118</v>
      </c>
      <c r="C1120" s="47"/>
      <c r="D1120" s="45">
        <v>50</v>
      </c>
      <c r="E1120" s="51"/>
      <c r="F1120" s="51"/>
      <c r="G1120" s="56"/>
      <c r="H1120" s="261"/>
    </row>
    <row r="1121" spans="1:8" s="46" customFormat="1" hidden="1" x14ac:dyDescent="0.25">
      <c r="A1121" s="68">
        <v>1</v>
      </c>
      <c r="B1121" s="44" t="s">
        <v>150</v>
      </c>
      <c r="C1121" s="47"/>
      <c r="D1121" s="76"/>
      <c r="E1121" s="51"/>
      <c r="F1121" s="51"/>
      <c r="G1121" s="56"/>
      <c r="H1121" s="261"/>
    </row>
    <row r="1122" spans="1:8" ht="30" hidden="1" x14ac:dyDescent="0.25">
      <c r="A1122" s="68">
        <v>1</v>
      </c>
      <c r="B1122" s="24" t="s">
        <v>119</v>
      </c>
      <c r="C1122" s="22"/>
      <c r="D1122" s="3">
        <f>1500-500</f>
        <v>1000</v>
      </c>
      <c r="E1122" s="344"/>
      <c r="F1122" s="344"/>
      <c r="G1122" s="344"/>
    </row>
    <row r="1123" spans="1:8" s="46" customFormat="1" ht="15.75" hidden="1" customHeight="1" x14ac:dyDescent="0.25">
      <c r="A1123" s="68">
        <v>1</v>
      </c>
      <c r="B1123" s="24" t="s">
        <v>224</v>
      </c>
      <c r="C1123" s="22"/>
      <c r="D1123" s="3"/>
      <c r="E1123" s="51"/>
      <c r="F1123" s="51"/>
      <c r="G1123" s="56"/>
      <c r="H1123" s="261"/>
    </row>
    <row r="1124" spans="1:8" s="46" customFormat="1" hidden="1" x14ac:dyDescent="0.25">
      <c r="A1124" s="68">
        <v>1</v>
      </c>
      <c r="B1124" s="53"/>
      <c r="C1124" s="22"/>
      <c r="D1124" s="3"/>
      <c r="E1124" s="51"/>
      <c r="F1124" s="51"/>
      <c r="G1124" s="56"/>
      <c r="H1124" s="261"/>
    </row>
    <row r="1125" spans="1:8" s="46" customFormat="1" hidden="1" x14ac:dyDescent="0.25">
      <c r="A1125" s="68">
        <v>1</v>
      </c>
      <c r="B1125" s="54" t="s">
        <v>152</v>
      </c>
      <c r="C1125" s="22"/>
      <c r="D1125" s="18">
        <f>D1102+ROUND(D1120*3.2,0)+D1122</f>
        <v>3510</v>
      </c>
      <c r="E1125" s="51"/>
      <c r="F1125" s="51"/>
      <c r="G1125" s="56"/>
      <c r="H1125" s="261"/>
    </row>
    <row r="1126" spans="1:8" s="46" customFormat="1" hidden="1" x14ac:dyDescent="0.25">
      <c r="A1126" s="68">
        <v>1</v>
      </c>
      <c r="B1126" s="55" t="s">
        <v>151</v>
      </c>
      <c r="C1126" s="22"/>
      <c r="D1126" s="18">
        <f>SUM(D1100,D1125)</f>
        <v>39792.552706552699</v>
      </c>
      <c r="E1126" s="51"/>
      <c r="F1126" s="51"/>
      <c r="G1126" s="56"/>
      <c r="H1126" s="261"/>
    </row>
    <row r="1127" spans="1:8" ht="15.75" hidden="1" customHeight="1" x14ac:dyDescent="0.25">
      <c r="A1127" s="68">
        <v>1</v>
      </c>
      <c r="B1127" s="27" t="s">
        <v>7</v>
      </c>
      <c r="C1127" s="48"/>
      <c r="D1127" s="48"/>
      <c r="E1127" s="48"/>
      <c r="F1127" s="48"/>
      <c r="G1127" s="18"/>
    </row>
    <row r="1128" spans="1:8" ht="15.75" hidden="1" customHeight="1" x14ac:dyDescent="0.25">
      <c r="A1128" s="68">
        <v>1</v>
      </c>
      <c r="B1128" s="34" t="s">
        <v>139</v>
      </c>
      <c r="C1128" s="48"/>
      <c r="D1128" s="325"/>
      <c r="E1128" s="48"/>
      <c r="F1128" s="325"/>
      <c r="G1128" s="18"/>
    </row>
    <row r="1129" spans="1:8" ht="15.75" hidden="1" customHeight="1" x14ac:dyDescent="0.25">
      <c r="A1129" s="68">
        <v>1</v>
      </c>
      <c r="B1129" s="29" t="s">
        <v>21</v>
      </c>
      <c r="C1129" s="48">
        <v>340</v>
      </c>
      <c r="D1129" s="3">
        <v>25</v>
      </c>
      <c r="E1129" s="58">
        <v>12</v>
      </c>
      <c r="F1129" s="3">
        <f>ROUND(G1129/C1129,0)</f>
        <v>1</v>
      </c>
      <c r="G1129" s="3">
        <f>ROUND(D1129*E1129,0)</f>
        <v>300</v>
      </c>
    </row>
    <row r="1130" spans="1:8" ht="15.75" hidden="1" customHeight="1" x14ac:dyDescent="0.25">
      <c r="A1130" s="68">
        <v>1</v>
      </c>
      <c r="B1130" s="29" t="s">
        <v>57</v>
      </c>
      <c r="C1130" s="48">
        <v>340</v>
      </c>
      <c r="D1130" s="3">
        <v>25</v>
      </c>
      <c r="E1130" s="58">
        <v>12</v>
      </c>
      <c r="F1130" s="3">
        <f>ROUND(G1130/C1130,0)</f>
        <v>1</v>
      </c>
      <c r="G1130" s="3">
        <f>ROUND(D1130*E1130,0)</f>
        <v>300</v>
      </c>
    </row>
    <row r="1131" spans="1:8" ht="15.75" hidden="1" customHeight="1" x14ac:dyDescent="0.25">
      <c r="A1131" s="68">
        <v>1</v>
      </c>
      <c r="B1131" s="219" t="s">
        <v>9</v>
      </c>
      <c r="C1131" s="48"/>
      <c r="D1131" s="35">
        <f>D1129+D1130</f>
        <v>50</v>
      </c>
      <c r="E1131" s="17">
        <f t="shared" ref="E1131" si="78">G1131/D1131</f>
        <v>12</v>
      </c>
      <c r="F1131" s="326">
        <f>F1129+F1130</f>
        <v>2</v>
      </c>
      <c r="G1131" s="18">
        <f>G1129+G1130</f>
        <v>600</v>
      </c>
    </row>
    <row r="1132" spans="1:8" ht="15.75" hidden="1" customHeight="1" x14ac:dyDescent="0.25">
      <c r="A1132" s="68">
        <v>1</v>
      </c>
      <c r="B1132" s="298" t="s">
        <v>116</v>
      </c>
      <c r="C1132" s="2"/>
      <c r="D1132" s="294">
        <f t="shared" ref="D1132" si="79">D1131</f>
        <v>50</v>
      </c>
      <c r="E1132" s="17">
        <f t="shared" ref="E1132:G1132" si="80">E1131</f>
        <v>12</v>
      </c>
      <c r="F1132" s="294">
        <f t="shared" si="80"/>
        <v>2</v>
      </c>
      <c r="G1132" s="294">
        <f t="shared" si="80"/>
        <v>600</v>
      </c>
    </row>
    <row r="1133" spans="1:8" ht="18.75" hidden="1" customHeight="1" thickBot="1" x14ac:dyDescent="0.3">
      <c r="A1133" s="68">
        <v>1</v>
      </c>
      <c r="B1133" s="253" t="s">
        <v>10</v>
      </c>
      <c r="C1133" s="345"/>
      <c r="D1133" s="254"/>
      <c r="E1133" s="346"/>
      <c r="F1133" s="254"/>
      <c r="G1133" s="254"/>
    </row>
    <row r="1134" spans="1:8" ht="29.25" hidden="1" x14ac:dyDescent="0.25">
      <c r="A1134" s="68">
        <v>1</v>
      </c>
      <c r="B1134" s="62" t="s">
        <v>265</v>
      </c>
      <c r="C1134" s="5"/>
      <c r="D1134" s="63">
        <f>D1135+D1137</f>
        <v>205618</v>
      </c>
      <c r="E1134" s="3"/>
      <c r="F1134" s="3"/>
      <c r="G1134" s="3"/>
    </row>
    <row r="1135" spans="1:8" ht="19.5" hidden="1" customHeight="1" x14ac:dyDescent="0.25">
      <c r="A1135" s="68">
        <v>1</v>
      </c>
      <c r="B1135" s="40" t="s">
        <v>167</v>
      </c>
      <c r="C1135" s="344"/>
      <c r="D1135" s="63">
        <f>D1136</f>
        <v>205570</v>
      </c>
      <c r="E1135" s="3"/>
      <c r="F1135" s="3"/>
      <c r="G1135" s="3"/>
    </row>
    <row r="1136" spans="1:8" ht="15.75" hidden="1" customHeight="1" x14ac:dyDescent="0.25">
      <c r="A1136" s="68">
        <v>1</v>
      </c>
      <c r="B1136" s="41" t="s">
        <v>168</v>
      </c>
      <c r="C1136" s="344"/>
      <c r="D1136" s="2">
        <v>205570</v>
      </c>
      <c r="E1136" s="3"/>
      <c r="F1136" s="3"/>
      <c r="G1136" s="3"/>
    </row>
    <row r="1137" spans="1:8" ht="17.25" hidden="1" customHeight="1" x14ac:dyDescent="0.25">
      <c r="A1137" s="68">
        <v>1</v>
      </c>
      <c r="B1137" s="40" t="s">
        <v>169</v>
      </c>
      <c r="C1137" s="344"/>
      <c r="D1137" s="63">
        <f>D1138</f>
        <v>48</v>
      </c>
      <c r="E1137" s="274"/>
      <c r="F1137" s="274"/>
      <c r="G1137" s="274"/>
    </row>
    <row r="1138" spans="1:8" ht="33.75" hidden="1" customHeight="1" x14ac:dyDescent="0.25">
      <c r="A1138" s="68">
        <v>1</v>
      </c>
      <c r="B1138" s="41" t="s">
        <v>170</v>
      </c>
      <c r="C1138" s="344"/>
      <c r="D1138" s="243">
        <f>25+23</f>
        <v>48</v>
      </c>
      <c r="E1138" s="3"/>
      <c r="F1138" s="3"/>
      <c r="G1138" s="3"/>
    </row>
    <row r="1139" spans="1:8" ht="15.75" hidden="1" thickBot="1" x14ac:dyDescent="0.3">
      <c r="A1139" s="68">
        <v>1</v>
      </c>
      <c r="B1139" s="270" t="s">
        <v>10</v>
      </c>
      <c r="C1139" s="347"/>
      <c r="D1139" s="347"/>
      <c r="E1139" s="347"/>
      <c r="F1139" s="347"/>
      <c r="G1139" s="347"/>
    </row>
    <row r="1140" spans="1:8" ht="21" hidden="1" customHeight="1" x14ac:dyDescent="0.25">
      <c r="A1140" s="68">
        <v>1</v>
      </c>
      <c r="B1140" s="348" t="s">
        <v>266</v>
      </c>
      <c r="C1140" s="349"/>
      <c r="D1140" s="349"/>
      <c r="E1140" s="349"/>
      <c r="F1140" s="349"/>
      <c r="G1140" s="349"/>
    </row>
    <row r="1141" spans="1:8" s="46" customFormat="1" ht="18.75" hidden="1" customHeight="1" x14ac:dyDescent="0.25">
      <c r="A1141" s="68">
        <v>1</v>
      </c>
      <c r="B1141" s="21" t="s">
        <v>205</v>
      </c>
      <c r="C1141" s="21"/>
      <c r="D1141" s="74"/>
      <c r="E1141" s="45"/>
      <c r="F1141" s="45"/>
      <c r="G1141" s="45"/>
      <c r="H1141" s="261"/>
    </row>
    <row r="1142" spans="1:8" s="46" customFormat="1" ht="30" hidden="1" x14ac:dyDescent="0.25">
      <c r="A1142" s="68">
        <v>1</v>
      </c>
      <c r="B1142" s="23" t="s">
        <v>322</v>
      </c>
      <c r="C1142" s="47"/>
      <c r="D1142" s="45">
        <f>SUM(D1143,D1144,D1145,D1146)</f>
        <v>5800</v>
      </c>
      <c r="E1142" s="45"/>
      <c r="F1142" s="45"/>
      <c r="G1142" s="45"/>
      <c r="H1142" s="261"/>
    </row>
    <row r="1143" spans="1:8" s="46" customFormat="1" hidden="1" x14ac:dyDescent="0.25">
      <c r="A1143" s="68">
        <v>1</v>
      </c>
      <c r="B1143" s="48" t="s">
        <v>206</v>
      </c>
      <c r="C1143" s="47"/>
      <c r="D1143" s="45"/>
      <c r="E1143" s="45"/>
      <c r="F1143" s="45"/>
      <c r="G1143" s="45"/>
      <c r="H1143" s="261"/>
    </row>
    <row r="1144" spans="1:8" s="46" customFormat="1" ht="17.25" hidden="1" customHeight="1" x14ac:dyDescent="0.25">
      <c r="A1144" s="68">
        <v>1</v>
      </c>
      <c r="B1144" s="48" t="s">
        <v>207</v>
      </c>
      <c r="C1144" s="47"/>
      <c r="D1144" s="3">
        <v>100</v>
      </c>
      <c r="E1144" s="45"/>
      <c r="F1144" s="45"/>
      <c r="G1144" s="45"/>
      <c r="H1144" s="261"/>
    </row>
    <row r="1145" spans="1:8" s="46" customFormat="1" ht="30" hidden="1" x14ac:dyDescent="0.25">
      <c r="A1145" s="68">
        <v>1</v>
      </c>
      <c r="B1145" s="48" t="s">
        <v>208</v>
      </c>
      <c r="C1145" s="47"/>
      <c r="D1145" s="3"/>
      <c r="E1145" s="45"/>
      <c r="F1145" s="45"/>
      <c r="G1145" s="45"/>
      <c r="H1145" s="261"/>
    </row>
    <row r="1146" spans="1:8" s="46" customFormat="1" hidden="1" x14ac:dyDescent="0.25">
      <c r="A1146" s="68">
        <v>1</v>
      </c>
      <c r="B1146" s="23" t="s">
        <v>209</v>
      </c>
      <c r="C1146" s="47"/>
      <c r="D1146" s="3">
        <v>5700</v>
      </c>
      <c r="E1146" s="45"/>
      <c r="F1146" s="45"/>
      <c r="G1146" s="45"/>
      <c r="H1146" s="261"/>
    </row>
    <row r="1147" spans="1:8" s="46" customFormat="1" ht="45" hidden="1" x14ac:dyDescent="0.25">
      <c r="A1147" s="68">
        <v>1</v>
      </c>
      <c r="B1147" s="23" t="s">
        <v>285</v>
      </c>
      <c r="C1147" s="47"/>
      <c r="D1147" s="13">
        <v>0</v>
      </c>
      <c r="E1147" s="45"/>
      <c r="F1147" s="45"/>
      <c r="G1147" s="45"/>
      <c r="H1147" s="261"/>
    </row>
    <row r="1148" spans="1:8" hidden="1" x14ac:dyDescent="0.25">
      <c r="A1148" s="68">
        <v>1</v>
      </c>
      <c r="B1148" s="24" t="s">
        <v>118</v>
      </c>
      <c r="C1148" s="22"/>
      <c r="D1148" s="3">
        <v>3000</v>
      </c>
      <c r="E1148" s="3"/>
      <c r="F1148" s="3"/>
      <c r="G1148" s="3"/>
    </row>
    <row r="1149" spans="1:8" s="46" customFormat="1" hidden="1" x14ac:dyDescent="0.25">
      <c r="A1149" s="68">
        <v>1</v>
      </c>
      <c r="B1149" s="44" t="s">
        <v>150</v>
      </c>
      <c r="C1149" s="262"/>
      <c r="D1149" s="3"/>
      <c r="E1149" s="45"/>
      <c r="F1149" s="45"/>
      <c r="G1149" s="45"/>
      <c r="H1149" s="261"/>
    </row>
    <row r="1150" spans="1:8" s="46" customFormat="1" ht="15.75" hidden="1" customHeight="1" x14ac:dyDescent="0.25">
      <c r="A1150" s="68">
        <v>1</v>
      </c>
      <c r="B1150" s="49" t="s">
        <v>210</v>
      </c>
      <c r="C1150" s="50"/>
      <c r="D1150" s="47">
        <f>D1142+ROUND(D1148*3.2,0)</f>
        <v>15400</v>
      </c>
      <c r="E1150" s="51"/>
      <c r="F1150" s="51"/>
      <c r="G1150" s="56"/>
      <c r="H1150" s="261"/>
    </row>
    <row r="1151" spans="1:8" s="46" customFormat="1" ht="15.75" hidden="1" customHeight="1" x14ac:dyDescent="0.25">
      <c r="A1151" s="68">
        <v>1</v>
      </c>
      <c r="B1151" s="21" t="s">
        <v>153</v>
      </c>
      <c r="C1151" s="22"/>
      <c r="D1151" s="3"/>
      <c r="E1151" s="51"/>
      <c r="F1151" s="51"/>
      <c r="G1151" s="56"/>
      <c r="H1151" s="261"/>
    </row>
    <row r="1152" spans="1:8" s="46" customFormat="1" ht="30" hidden="1" x14ac:dyDescent="0.25">
      <c r="A1152" s="68">
        <v>1</v>
      </c>
      <c r="B1152" s="23" t="s">
        <v>322</v>
      </c>
      <c r="C1152" s="22"/>
      <c r="D1152" s="3">
        <f>SUM(D1154,D1155,D1162,D1168,D1169,D1170)+D1153/2.7</f>
        <v>9710.6666666666661</v>
      </c>
      <c r="E1152" s="51"/>
      <c r="F1152" s="51"/>
      <c r="G1152" s="56"/>
      <c r="H1152" s="261"/>
    </row>
    <row r="1153" spans="1:8" s="46" customFormat="1" ht="15.75" hidden="1" customHeight="1" x14ac:dyDescent="0.25">
      <c r="A1153" s="68">
        <v>1</v>
      </c>
      <c r="B1153" s="350" t="s">
        <v>286</v>
      </c>
      <c r="C1153" s="22"/>
      <c r="D1153" s="3">
        <v>8226</v>
      </c>
      <c r="E1153" s="51"/>
      <c r="F1153" s="51"/>
      <c r="G1153" s="56"/>
      <c r="H1153" s="261"/>
    </row>
    <row r="1154" spans="1:8" s="46" customFormat="1" ht="15.75" hidden="1" customHeight="1" x14ac:dyDescent="0.25">
      <c r="A1154" s="68">
        <v>1</v>
      </c>
      <c r="B1154" s="23" t="s">
        <v>206</v>
      </c>
      <c r="C1154" s="22"/>
      <c r="D1154" s="3"/>
      <c r="E1154" s="51"/>
      <c r="F1154" s="51"/>
      <c r="G1154" s="56"/>
      <c r="H1154" s="261"/>
    </row>
    <row r="1155" spans="1:8" s="46" customFormat="1" ht="15.75" hidden="1" customHeight="1" x14ac:dyDescent="0.25">
      <c r="A1155" s="68">
        <v>1</v>
      </c>
      <c r="B1155" s="48" t="s">
        <v>211</v>
      </c>
      <c r="C1155" s="22"/>
      <c r="D1155" s="3">
        <f>D1156+D1157+D1158+D1160</f>
        <v>1052</v>
      </c>
      <c r="E1155" s="51"/>
      <c r="F1155" s="51"/>
      <c r="G1155" s="56"/>
      <c r="H1155" s="261"/>
    </row>
    <row r="1156" spans="1:8" s="46" customFormat="1" ht="19.5" hidden="1" customHeight="1" x14ac:dyDescent="0.25">
      <c r="A1156" s="68">
        <v>1</v>
      </c>
      <c r="B1156" s="52" t="s">
        <v>212</v>
      </c>
      <c r="C1156" s="22"/>
      <c r="D1156" s="45">
        <f>1060-317</f>
        <v>743</v>
      </c>
      <c r="E1156" s="51"/>
      <c r="F1156" s="51"/>
      <c r="G1156" s="56"/>
      <c r="H1156" s="261"/>
    </row>
    <row r="1157" spans="1:8" s="46" customFormat="1" ht="15.75" hidden="1" customHeight="1" x14ac:dyDescent="0.25">
      <c r="A1157" s="68">
        <v>1</v>
      </c>
      <c r="B1157" s="52" t="s">
        <v>213</v>
      </c>
      <c r="C1157" s="22"/>
      <c r="D1157" s="45">
        <v>309</v>
      </c>
      <c r="E1157" s="51"/>
      <c r="F1157" s="51"/>
      <c r="G1157" s="56"/>
      <c r="H1157" s="261"/>
    </row>
    <row r="1158" spans="1:8" s="46" customFormat="1" ht="30.75" hidden="1" customHeight="1" x14ac:dyDescent="0.25">
      <c r="A1158" s="68">
        <v>1</v>
      </c>
      <c r="B1158" s="52" t="s">
        <v>214</v>
      </c>
      <c r="C1158" s="22"/>
      <c r="D1158" s="45"/>
      <c r="E1158" s="51"/>
      <c r="F1158" s="51"/>
      <c r="G1158" s="56"/>
      <c r="H1158" s="261"/>
    </row>
    <row r="1159" spans="1:8" s="46" customFormat="1" hidden="1" x14ac:dyDescent="0.25">
      <c r="A1159" s="68">
        <v>1</v>
      </c>
      <c r="B1159" s="52" t="s">
        <v>215</v>
      </c>
      <c r="C1159" s="22"/>
      <c r="D1159" s="45"/>
      <c r="E1159" s="51"/>
      <c r="F1159" s="51"/>
      <c r="G1159" s="56"/>
      <c r="H1159" s="261"/>
    </row>
    <row r="1160" spans="1:8" s="46" customFormat="1" ht="30" hidden="1" x14ac:dyDescent="0.25">
      <c r="A1160" s="68">
        <v>1</v>
      </c>
      <c r="B1160" s="52" t="s">
        <v>216</v>
      </c>
      <c r="C1160" s="22"/>
      <c r="D1160" s="45"/>
      <c r="E1160" s="51"/>
      <c r="F1160" s="51"/>
      <c r="G1160" s="56"/>
      <c r="H1160" s="261"/>
    </row>
    <row r="1161" spans="1:8" s="46" customFormat="1" hidden="1" x14ac:dyDescent="0.25">
      <c r="A1161" s="68">
        <v>1</v>
      </c>
      <c r="B1161" s="52" t="s">
        <v>215</v>
      </c>
      <c r="C1161" s="22"/>
      <c r="D1161" s="76"/>
      <c r="E1161" s="51"/>
      <c r="F1161" s="51"/>
      <c r="G1161" s="56"/>
      <c r="H1161" s="261"/>
    </row>
    <row r="1162" spans="1:8" s="46" customFormat="1" ht="30" hidden="1" customHeight="1" x14ac:dyDescent="0.25">
      <c r="A1162" s="68">
        <v>1</v>
      </c>
      <c r="B1162" s="48" t="s">
        <v>217</v>
      </c>
      <c r="C1162" s="22"/>
      <c r="D1162" s="3">
        <f>SUM(D1163,D1164,D1166)</f>
        <v>1612</v>
      </c>
      <c r="E1162" s="51"/>
      <c r="F1162" s="51"/>
      <c r="G1162" s="56"/>
      <c r="H1162" s="261"/>
    </row>
    <row r="1163" spans="1:8" s="46" customFormat="1" ht="30" hidden="1" x14ac:dyDescent="0.25">
      <c r="A1163" s="68">
        <v>1</v>
      </c>
      <c r="B1163" s="52" t="s">
        <v>218</v>
      </c>
      <c r="C1163" s="22"/>
      <c r="D1163" s="3">
        <f>612+1000</f>
        <v>1612</v>
      </c>
      <c r="E1163" s="51"/>
      <c r="F1163" s="51"/>
      <c r="G1163" s="56"/>
      <c r="H1163" s="261"/>
    </row>
    <row r="1164" spans="1:8" s="46" customFormat="1" ht="45" hidden="1" x14ac:dyDescent="0.25">
      <c r="A1164" s="68">
        <v>1</v>
      </c>
      <c r="B1164" s="52" t="s">
        <v>219</v>
      </c>
      <c r="C1164" s="22"/>
      <c r="D1164" s="42"/>
      <c r="E1164" s="51"/>
      <c r="F1164" s="51"/>
      <c r="G1164" s="56"/>
      <c r="H1164" s="261"/>
    </row>
    <row r="1165" spans="1:8" s="46" customFormat="1" hidden="1" x14ac:dyDescent="0.25">
      <c r="A1165" s="68">
        <v>1</v>
      </c>
      <c r="B1165" s="52" t="s">
        <v>215</v>
      </c>
      <c r="C1165" s="22"/>
      <c r="D1165" s="42"/>
      <c r="E1165" s="51"/>
      <c r="F1165" s="51"/>
      <c r="G1165" s="56"/>
      <c r="H1165" s="261"/>
    </row>
    <row r="1166" spans="1:8" s="46" customFormat="1" ht="45" hidden="1" x14ac:dyDescent="0.25">
      <c r="A1166" s="68">
        <v>1</v>
      </c>
      <c r="B1166" s="52" t="s">
        <v>220</v>
      </c>
      <c r="C1166" s="22"/>
      <c r="D1166" s="42"/>
      <c r="E1166" s="51"/>
      <c r="F1166" s="51"/>
      <c r="G1166" s="56"/>
      <c r="H1166" s="261"/>
    </row>
    <row r="1167" spans="1:8" s="46" customFormat="1" hidden="1" x14ac:dyDescent="0.25">
      <c r="A1167" s="68">
        <v>1</v>
      </c>
      <c r="B1167" s="52" t="s">
        <v>215</v>
      </c>
      <c r="C1167" s="22"/>
      <c r="D1167" s="42"/>
      <c r="E1167" s="51"/>
      <c r="F1167" s="51"/>
      <c r="G1167" s="56"/>
      <c r="H1167" s="261"/>
    </row>
    <row r="1168" spans="1:8" s="46" customFormat="1" ht="31.5" hidden="1" customHeight="1" x14ac:dyDescent="0.25">
      <c r="A1168" s="68">
        <v>1</v>
      </c>
      <c r="B1168" s="48" t="s">
        <v>221</v>
      </c>
      <c r="C1168" s="22"/>
      <c r="D1168" s="3"/>
      <c r="E1168" s="51"/>
      <c r="F1168" s="51"/>
      <c r="G1168" s="56"/>
      <c r="H1168" s="261"/>
    </row>
    <row r="1169" spans="1:8" s="46" customFormat="1" ht="15.75" hidden="1" customHeight="1" x14ac:dyDescent="0.25">
      <c r="A1169" s="68">
        <v>1</v>
      </c>
      <c r="B1169" s="48" t="s">
        <v>222</v>
      </c>
      <c r="C1169" s="22"/>
      <c r="D1169" s="3"/>
      <c r="E1169" s="51"/>
      <c r="F1169" s="51"/>
      <c r="G1169" s="56"/>
      <c r="H1169" s="261"/>
    </row>
    <row r="1170" spans="1:8" s="46" customFormat="1" ht="15.75" hidden="1" customHeight="1" x14ac:dyDescent="0.25">
      <c r="A1170" s="68">
        <v>1</v>
      </c>
      <c r="B1170" s="23" t="s">
        <v>223</v>
      </c>
      <c r="C1170" s="22"/>
      <c r="D1170" s="3">
        <v>4000</v>
      </c>
      <c r="E1170" s="51"/>
      <c r="F1170" s="51"/>
      <c r="G1170" s="56"/>
      <c r="H1170" s="261"/>
    </row>
    <row r="1171" spans="1:8" s="46" customFormat="1" hidden="1" x14ac:dyDescent="0.25">
      <c r="A1171" s="68">
        <v>1</v>
      </c>
      <c r="B1171" s="24" t="s">
        <v>118</v>
      </c>
      <c r="C1171" s="47"/>
      <c r="D1171" s="45">
        <f>D1172/8.5</f>
        <v>9388.2352941176468</v>
      </c>
      <c r="E1171" s="51"/>
      <c r="F1171" s="51"/>
      <c r="G1171" s="56"/>
      <c r="H1171" s="261"/>
    </row>
    <row r="1172" spans="1:8" s="46" customFormat="1" hidden="1" x14ac:dyDescent="0.25">
      <c r="A1172" s="68">
        <v>1</v>
      </c>
      <c r="B1172" s="44" t="s">
        <v>150</v>
      </c>
      <c r="C1172" s="47"/>
      <c r="D1172" s="76">
        <v>79800</v>
      </c>
      <c r="E1172" s="51"/>
      <c r="F1172" s="51"/>
      <c r="G1172" s="56"/>
      <c r="H1172" s="261"/>
    </row>
    <row r="1173" spans="1:8" ht="30" hidden="1" x14ac:dyDescent="0.25">
      <c r="A1173" s="68">
        <v>1</v>
      </c>
      <c r="B1173" s="24" t="s">
        <v>119</v>
      </c>
      <c r="C1173" s="22"/>
      <c r="D1173" s="3">
        <v>370</v>
      </c>
      <c r="E1173" s="3"/>
      <c r="F1173" s="3"/>
      <c r="G1173" s="3"/>
    </row>
    <row r="1174" spans="1:8" s="46" customFormat="1" ht="15.75" hidden="1" customHeight="1" x14ac:dyDescent="0.25">
      <c r="A1174" s="68">
        <v>1</v>
      </c>
      <c r="B1174" s="24" t="s">
        <v>224</v>
      </c>
      <c r="C1174" s="22"/>
      <c r="D1174" s="3"/>
      <c r="E1174" s="51"/>
      <c r="F1174" s="51"/>
      <c r="G1174" s="56"/>
      <c r="H1174" s="261"/>
    </row>
    <row r="1175" spans="1:8" s="46" customFormat="1" hidden="1" x14ac:dyDescent="0.25">
      <c r="A1175" s="68">
        <v>1</v>
      </c>
      <c r="B1175" s="53"/>
      <c r="C1175" s="22"/>
      <c r="D1175" s="3"/>
      <c r="E1175" s="51"/>
      <c r="F1175" s="51"/>
      <c r="G1175" s="56"/>
      <c r="H1175" s="261"/>
    </row>
    <row r="1176" spans="1:8" s="46" customFormat="1" hidden="1" x14ac:dyDescent="0.25">
      <c r="A1176" s="68">
        <v>1</v>
      </c>
      <c r="B1176" s="54" t="s">
        <v>152</v>
      </c>
      <c r="C1176" s="22"/>
      <c r="D1176" s="18">
        <f>D1152+ROUND(D1172/3.9,0)+D1173</f>
        <v>30542.666666666664</v>
      </c>
      <c r="E1176" s="51"/>
      <c r="F1176" s="51"/>
      <c r="G1176" s="56"/>
      <c r="H1176" s="261"/>
    </row>
    <row r="1177" spans="1:8" s="46" customFormat="1" hidden="1" x14ac:dyDescent="0.25">
      <c r="A1177" s="68">
        <v>1</v>
      </c>
      <c r="B1177" s="55" t="s">
        <v>151</v>
      </c>
      <c r="C1177" s="22"/>
      <c r="D1177" s="18">
        <f>SUM(D1150,D1176)</f>
        <v>45942.666666666664</v>
      </c>
      <c r="E1177" s="51"/>
      <c r="F1177" s="51"/>
      <c r="G1177" s="56"/>
      <c r="H1177" s="261"/>
    </row>
    <row r="1178" spans="1:8" ht="15.75" hidden="1" customHeight="1" x14ac:dyDescent="0.25">
      <c r="A1178" s="68">
        <v>1</v>
      </c>
      <c r="B1178" s="34" t="s">
        <v>7</v>
      </c>
      <c r="C1178" s="307"/>
      <c r="D1178" s="3"/>
      <c r="E1178" s="3"/>
      <c r="F1178" s="3"/>
      <c r="G1178" s="3"/>
    </row>
    <row r="1179" spans="1:8" ht="15.75" hidden="1" customHeight="1" x14ac:dyDescent="0.25">
      <c r="A1179" s="68">
        <v>1</v>
      </c>
      <c r="B1179" s="43" t="s">
        <v>76</v>
      </c>
      <c r="C1179" s="307"/>
      <c r="D1179" s="3"/>
      <c r="E1179" s="3"/>
      <c r="F1179" s="3"/>
      <c r="G1179" s="3"/>
    </row>
    <row r="1180" spans="1:8" ht="15.75" hidden="1" customHeight="1" x14ac:dyDescent="0.25">
      <c r="A1180" s="68">
        <v>1</v>
      </c>
      <c r="B1180" s="30" t="s">
        <v>21</v>
      </c>
      <c r="C1180" s="2">
        <v>240</v>
      </c>
      <c r="D1180" s="3">
        <v>210</v>
      </c>
      <c r="E1180" s="60">
        <v>8</v>
      </c>
      <c r="F1180" s="3">
        <f>ROUND(G1180/C1180,0)</f>
        <v>7</v>
      </c>
      <c r="G1180" s="3">
        <f>ROUND(D1180*E1180,0)</f>
        <v>1680</v>
      </c>
    </row>
    <row r="1181" spans="1:8" ht="15.75" hidden="1" customHeight="1" x14ac:dyDescent="0.25">
      <c r="A1181" s="68">
        <v>1</v>
      </c>
      <c r="B1181" s="219" t="s">
        <v>141</v>
      </c>
      <c r="C1181" s="2"/>
      <c r="D1181" s="35">
        <f t="shared" ref="D1181" si="81">D1180</f>
        <v>210</v>
      </c>
      <c r="E1181" s="17">
        <f t="shared" ref="E1181" si="82">G1181/D1181</f>
        <v>8</v>
      </c>
      <c r="F1181" s="35">
        <f t="shared" ref="F1181:G1182" si="83">F1180</f>
        <v>7</v>
      </c>
      <c r="G1181" s="35">
        <f t="shared" si="83"/>
        <v>1680</v>
      </c>
    </row>
    <row r="1182" spans="1:8" ht="15.75" hidden="1" customHeight="1" x14ac:dyDescent="0.25">
      <c r="A1182" s="68">
        <v>1</v>
      </c>
      <c r="B1182" s="298" t="s">
        <v>116</v>
      </c>
      <c r="C1182" s="2"/>
      <c r="D1182" s="294">
        <f t="shared" ref="D1182" si="84">D1181</f>
        <v>210</v>
      </c>
      <c r="E1182" s="303">
        <f>E1181</f>
        <v>8</v>
      </c>
      <c r="F1182" s="294">
        <f t="shared" si="83"/>
        <v>7</v>
      </c>
      <c r="G1182" s="294">
        <f t="shared" si="83"/>
        <v>1680</v>
      </c>
    </row>
    <row r="1183" spans="1:8" ht="18.75" hidden="1" customHeight="1" thickBot="1" x14ac:dyDescent="0.3">
      <c r="A1183" s="68">
        <v>1</v>
      </c>
      <c r="B1183" s="270" t="s">
        <v>10</v>
      </c>
      <c r="C1183" s="270"/>
      <c r="D1183" s="271"/>
      <c r="E1183" s="271"/>
      <c r="F1183" s="271"/>
      <c r="G1183" s="271"/>
    </row>
    <row r="1184" spans="1:8" ht="43.5" hidden="1" x14ac:dyDescent="0.25">
      <c r="A1184" s="68">
        <v>1</v>
      </c>
      <c r="B1184" s="317" t="s">
        <v>267</v>
      </c>
      <c r="C1184" s="94"/>
      <c r="D1184" s="94"/>
      <c r="E1184" s="94"/>
      <c r="F1184" s="94"/>
      <c r="G1184" s="94"/>
    </row>
    <row r="1185" spans="1:7" ht="14.25" hidden="1" customHeight="1" x14ac:dyDescent="0.25">
      <c r="A1185" s="68">
        <v>1</v>
      </c>
      <c r="B1185" s="69" t="s">
        <v>4</v>
      </c>
      <c r="C1185" s="79"/>
      <c r="D1185" s="79"/>
      <c r="E1185" s="79"/>
      <c r="F1185" s="79"/>
      <c r="G1185" s="79"/>
    </row>
    <row r="1186" spans="1:7" hidden="1" x14ac:dyDescent="0.25">
      <c r="A1186" s="68">
        <v>1</v>
      </c>
      <c r="B1186" s="4" t="s">
        <v>138</v>
      </c>
      <c r="C1186" s="90">
        <v>320</v>
      </c>
      <c r="D1186" s="2">
        <v>2600</v>
      </c>
      <c r="E1186" s="58">
        <v>13</v>
      </c>
      <c r="F1186" s="5">
        <f>ROUND(G1186/C1186,0)</f>
        <v>106</v>
      </c>
      <c r="G1186" s="3">
        <f>ROUND(D1186*E1186,0)</f>
        <v>33800</v>
      </c>
    </row>
    <row r="1187" spans="1:7" hidden="1" x14ac:dyDescent="0.25">
      <c r="A1187" s="68">
        <v>1</v>
      </c>
      <c r="B1187" s="322" t="s">
        <v>5</v>
      </c>
      <c r="C1187" s="351">
        <v>320</v>
      </c>
      <c r="D1187" s="63">
        <f t="shared" ref="D1187" si="85">D1186</f>
        <v>2600</v>
      </c>
      <c r="E1187" s="352">
        <f t="shared" ref="E1187:G1187" si="86">E1186</f>
        <v>13</v>
      </c>
      <c r="F1187" s="63">
        <f t="shared" si="86"/>
        <v>106</v>
      </c>
      <c r="G1187" s="63">
        <f t="shared" si="86"/>
        <v>33800</v>
      </c>
    </row>
    <row r="1188" spans="1:7" ht="15.75" hidden="1" x14ac:dyDescent="0.25">
      <c r="A1188" s="68">
        <v>1</v>
      </c>
      <c r="B1188" s="27" t="s">
        <v>292</v>
      </c>
      <c r="C1188" s="48"/>
      <c r="D1188" s="48"/>
      <c r="E1188" s="48"/>
      <c r="F1188" s="48"/>
      <c r="G1188" s="18"/>
    </row>
    <row r="1189" spans="1:7" hidden="1" x14ac:dyDescent="0.25">
      <c r="A1189" s="68">
        <v>1</v>
      </c>
      <c r="B1189" s="34" t="s">
        <v>139</v>
      </c>
      <c r="C1189" s="48"/>
      <c r="D1189" s="325"/>
      <c r="E1189" s="48"/>
      <c r="F1189" s="325"/>
      <c r="G1189" s="18"/>
    </row>
    <row r="1190" spans="1:7" hidden="1" x14ac:dyDescent="0.25">
      <c r="A1190" s="68">
        <v>1</v>
      </c>
      <c r="B1190" s="30" t="s">
        <v>138</v>
      </c>
      <c r="C1190" s="48">
        <v>300</v>
      </c>
      <c r="D1190" s="3">
        <v>360</v>
      </c>
      <c r="E1190" s="58">
        <v>10</v>
      </c>
      <c r="F1190" s="3">
        <f>ROUND(G1190/C1190,0)</f>
        <v>12</v>
      </c>
      <c r="G1190" s="3">
        <f>ROUND(D1190*E1190,0)</f>
        <v>3600</v>
      </c>
    </row>
    <row r="1191" spans="1:7" hidden="1" x14ac:dyDescent="0.25">
      <c r="A1191" s="68">
        <v>1</v>
      </c>
      <c r="B1191" s="264" t="s">
        <v>9</v>
      </c>
      <c r="C1191" s="48">
        <v>300</v>
      </c>
      <c r="D1191" s="3">
        <f t="shared" ref="D1191" si="87">D1190</f>
        <v>360</v>
      </c>
      <c r="E1191" s="58">
        <v>10</v>
      </c>
      <c r="F1191" s="3">
        <f t="shared" ref="F1191:G1192" si="88">F1190</f>
        <v>12</v>
      </c>
      <c r="G1191" s="3">
        <f t="shared" si="88"/>
        <v>3600</v>
      </c>
    </row>
    <row r="1192" spans="1:7" ht="18.75" hidden="1" customHeight="1" x14ac:dyDescent="0.25">
      <c r="A1192" s="68">
        <v>1</v>
      </c>
      <c r="B1192" s="298" t="s">
        <v>116</v>
      </c>
      <c r="C1192" s="48"/>
      <c r="D1192" s="18">
        <f t="shared" ref="D1192" si="89">D1191</f>
        <v>360</v>
      </c>
      <c r="E1192" s="17">
        <f t="shared" ref="E1192" si="90">G1192/D1192</f>
        <v>10</v>
      </c>
      <c r="F1192" s="18">
        <f t="shared" si="88"/>
        <v>12</v>
      </c>
      <c r="G1192" s="18">
        <f t="shared" si="88"/>
        <v>3600</v>
      </c>
    </row>
    <row r="1193" spans="1:7" ht="15.75" hidden="1" thickBot="1" x14ac:dyDescent="0.3">
      <c r="A1193" s="68">
        <v>1</v>
      </c>
      <c r="B1193" s="270" t="s">
        <v>10</v>
      </c>
      <c r="C1193" s="270"/>
      <c r="D1193" s="270"/>
      <c r="E1193" s="270"/>
      <c r="F1193" s="270"/>
      <c r="G1193" s="270"/>
    </row>
    <row r="1194" spans="1:7" ht="39" hidden="1" customHeight="1" x14ac:dyDescent="0.25">
      <c r="A1194" s="68">
        <v>1</v>
      </c>
      <c r="B1194" s="317"/>
      <c r="C1194" s="94"/>
      <c r="D1194" s="94"/>
      <c r="E1194" s="94"/>
      <c r="F1194" s="94"/>
      <c r="G1194" s="94"/>
    </row>
    <row r="1195" spans="1:7" ht="14.25" hidden="1" customHeight="1" x14ac:dyDescent="0.25">
      <c r="A1195" s="68">
        <v>1</v>
      </c>
      <c r="B1195" s="69"/>
      <c r="C1195" s="79"/>
      <c r="D1195" s="79"/>
      <c r="E1195" s="79"/>
      <c r="F1195" s="79"/>
      <c r="G1195" s="79"/>
    </row>
    <row r="1196" spans="1:7" hidden="1" x14ac:dyDescent="0.25">
      <c r="A1196" s="68">
        <v>1</v>
      </c>
      <c r="B1196" s="36"/>
      <c r="C1196" s="90"/>
      <c r="D1196" s="353"/>
      <c r="E1196" s="58"/>
      <c r="F1196" s="5"/>
      <c r="G1196" s="3"/>
    </row>
    <row r="1197" spans="1:7" hidden="1" x14ac:dyDescent="0.25">
      <c r="A1197" s="68">
        <v>1</v>
      </c>
      <c r="B1197" s="322"/>
      <c r="C1197" s="351"/>
      <c r="D1197" s="63"/>
      <c r="E1197" s="352"/>
      <c r="F1197" s="63"/>
      <c r="G1197" s="63"/>
    </row>
    <row r="1198" spans="1:7" ht="15.75" hidden="1" thickBot="1" x14ac:dyDescent="0.3">
      <c r="A1198" s="68">
        <v>1</v>
      </c>
      <c r="B1198" s="270"/>
      <c r="C1198" s="270"/>
      <c r="D1198" s="270"/>
      <c r="E1198" s="270"/>
      <c r="F1198" s="270"/>
      <c r="G1198" s="270"/>
    </row>
    <row r="1199" spans="1:7" ht="15.75" hidden="1" thickBot="1" x14ac:dyDescent="0.3">
      <c r="A1199" s="68">
        <v>1</v>
      </c>
    </row>
    <row r="1201" spans="2:2" x14ac:dyDescent="0.25">
      <c r="B1201" s="46" t="s">
        <v>330</v>
      </c>
    </row>
  </sheetData>
  <mergeCells count="6">
    <mergeCell ref="B2:G3"/>
    <mergeCell ref="C4:C6"/>
    <mergeCell ref="E4:E6"/>
    <mergeCell ref="F4:F6"/>
    <mergeCell ref="D4:D6"/>
    <mergeCell ref="G4:G6"/>
  </mergeCells>
  <pageMargins left="0.6692913385826772" right="0" top="0.74803149606299213" bottom="0.19685039370078741" header="0" footer="0"/>
  <pageSetup paperSize="9"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T641"/>
  <sheetViews>
    <sheetView topLeftCell="B1" zoomScale="85" zoomScaleNormal="85" zoomScaleSheetLayoutView="100" workbookViewId="0">
      <pane ySplit="7" topLeftCell="A8" activePane="bottomLeft" state="frozen"/>
      <selection activeCell="J562" sqref="J562"/>
      <selection pane="bottomLeft" activeCell="J562" sqref="J562"/>
    </sheetView>
  </sheetViews>
  <sheetFormatPr defaultColWidth="15.7109375" defaultRowHeight="15" x14ac:dyDescent="0.25"/>
  <cols>
    <col min="1" max="1" width="3.85546875" style="6" hidden="1" customWidth="1"/>
    <col min="2" max="2" width="47.140625" style="6" customWidth="1"/>
    <col min="3" max="3" width="9.5703125" style="6" hidden="1" customWidth="1"/>
    <col min="4" max="4" width="12.85546875" style="6" customWidth="1"/>
    <col min="5" max="5" width="13.7109375" style="6" customWidth="1"/>
    <col min="6" max="6" width="10.140625" style="6" customWidth="1"/>
    <col min="7" max="7" width="11.5703125" style="6" customWidth="1"/>
    <col min="8" max="9" width="15.7109375" style="6"/>
    <col min="10" max="10" width="16.28515625" style="6" bestFit="1" customWidth="1"/>
    <col min="11" max="16384" width="15.7109375" style="6"/>
  </cols>
  <sheetData>
    <row r="1" spans="1:9" ht="9.75" customHeight="1" x14ac:dyDescent="0.25">
      <c r="F1" s="533"/>
    </row>
    <row r="2" spans="1:9" s="7" customFormat="1" ht="15" customHeight="1" x14ac:dyDescent="0.25">
      <c r="B2" s="696" t="s">
        <v>293</v>
      </c>
      <c r="C2" s="696"/>
      <c r="D2" s="696"/>
      <c r="E2" s="696"/>
      <c r="F2" s="696"/>
      <c r="G2" s="696"/>
    </row>
    <row r="3" spans="1:9" ht="21.6" customHeight="1" thickBot="1" x14ac:dyDescent="0.3">
      <c r="B3" s="705"/>
      <c r="C3" s="705"/>
      <c r="D3" s="705"/>
      <c r="E3" s="705"/>
      <c r="F3" s="705"/>
      <c r="G3" s="705"/>
    </row>
    <row r="4" spans="1:9" ht="33.75" customHeight="1" x14ac:dyDescent="0.3">
      <c r="B4" s="8" t="s">
        <v>175</v>
      </c>
      <c r="C4" s="687" t="s">
        <v>1</v>
      </c>
      <c r="D4" s="699" t="s">
        <v>256</v>
      </c>
      <c r="E4" s="693" t="s">
        <v>0</v>
      </c>
      <c r="F4" s="687" t="s">
        <v>2</v>
      </c>
      <c r="G4" s="690" t="s">
        <v>204</v>
      </c>
    </row>
    <row r="5" spans="1:9" ht="19.5" customHeight="1" x14ac:dyDescent="0.3">
      <c r="B5" s="9"/>
      <c r="C5" s="688"/>
      <c r="D5" s="700"/>
      <c r="E5" s="694"/>
      <c r="F5" s="688"/>
      <c r="G5" s="691"/>
      <c r="H5" s="534"/>
    </row>
    <row r="6" spans="1:9" ht="21" customHeight="1" thickBot="1" x14ac:dyDescent="0.3">
      <c r="B6" s="10" t="s">
        <v>3</v>
      </c>
      <c r="C6" s="689"/>
      <c r="D6" s="701"/>
      <c r="E6" s="695"/>
      <c r="F6" s="689"/>
      <c r="G6" s="704"/>
      <c r="H6" s="702"/>
      <c r="I6" s="703"/>
    </row>
    <row r="7" spans="1:9" ht="15.75" thickBot="1" x14ac:dyDescent="0.3">
      <c r="B7" s="11">
        <v>1</v>
      </c>
      <c r="C7" s="12">
        <v>2</v>
      </c>
      <c r="D7" s="12">
        <v>3</v>
      </c>
      <c r="E7" s="238">
        <v>4</v>
      </c>
      <c r="F7" s="238">
        <v>5</v>
      </c>
      <c r="G7" s="238">
        <v>6</v>
      </c>
      <c r="H7" s="534"/>
    </row>
    <row r="8" spans="1:9" ht="23.25" customHeight="1" x14ac:dyDescent="0.25">
      <c r="A8" s="6">
        <v>1</v>
      </c>
      <c r="B8" s="348" t="s">
        <v>87</v>
      </c>
      <c r="C8" s="436"/>
      <c r="D8" s="436"/>
      <c r="E8" s="201"/>
      <c r="F8" s="201"/>
      <c r="G8" s="201"/>
    </row>
    <row r="9" spans="1:9" ht="20.25" customHeight="1" x14ac:dyDescent="0.25">
      <c r="A9" s="6">
        <v>1</v>
      </c>
      <c r="B9" s="356" t="s">
        <v>4</v>
      </c>
      <c r="C9" s="357"/>
      <c r="D9" s="436"/>
      <c r="E9" s="3"/>
      <c r="F9" s="3"/>
      <c r="G9" s="3"/>
    </row>
    <row r="10" spans="1:9" x14ac:dyDescent="0.25">
      <c r="A10" s="6">
        <v>1</v>
      </c>
      <c r="B10" s="4" t="s">
        <v>36</v>
      </c>
      <c r="C10" s="231">
        <v>340</v>
      </c>
      <c r="D10" s="3">
        <f>1289+16</f>
        <v>1305</v>
      </c>
      <c r="E10" s="227">
        <v>10.5</v>
      </c>
      <c r="F10" s="3">
        <f t="shared" ref="F10:F20" si="0">ROUND(G10/C10,0)</f>
        <v>40</v>
      </c>
      <c r="G10" s="3">
        <f t="shared" ref="G10:G21" si="1">ROUND(D10*E10,0)</f>
        <v>13703</v>
      </c>
    </row>
    <row r="11" spans="1:9" x14ac:dyDescent="0.25">
      <c r="A11" s="6">
        <v>1</v>
      </c>
      <c r="B11" s="4" t="s">
        <v>37</v>
      </c>
      <c r="C11" s="231">
        <v>340</v>
      </c>
      <c r="D11" s="3">
        <v>230</v>
      </c>
      <c r="E11" s="227">
        <v>11</v>
      </c>
      <c r="F11" s="3">
        <f t="shared" si="0"/>
        <v>7</v>
      </c>
      <c r="G11" s="3">
        <f t="shared" si="1"/>
        <v>2530</v>
      </c>
    </row>
    <row r="12" spans="1:9" x14ac:dyDescent="0.25">
      <c r="A12" s="6">
        <v>1</v>
      </c>
      <c r="B12" s="4" t="s">
        <v>38</v>
      </c>
      <c r="C12" s="231">
        <v>340</v>
      </c>
      <c r="D12" s="3">
        <v>526</v>
      </c>
      <c r="E12" s="227">
        <v>12.5</v>
      </c>
      <c r="F12" s="3">
        <f t="shared" si="0"/>
        <v>19</v>
      </c>
      <c r="G12" s="3">
        <f t="shared" si="1"/>
        <v>6575</v>
      </c>
    </row>
    <row r="13" spans="1:9" x14ac:dyDescent="0.25">
      <c r="A13" s="6">
        <v>1</v>
      </c>
      <c r="B13" s="4" t="s">
        <v>34</v>
      </c>
      <c r="C13" s="231">
        <v>340</v>
      </c>
      <c r="D13" s="3">
        <v>255</v>
      </c>
      <c r="E13" s="227">
        <v>11.8</v>
      </c>
      <c r="F13" s="3">
        <f t="shared" si="0"/>
        <v>9</v>
      </c>
      <c r="G13" s="3">
        <f t="shared" si="1"/>
        <v>3009</v>
      </c>
    </row>
    <row r="14" spans="1:9" x14ac:dyDescent="0.25">
      <c r="A14" s="6">
        <v>1</v>
      </c>
      <c r="B14" s="4" t="s">
        <v>39</v>
      </c>
      <c r="C14" s="231">
        <v>340</v>
      </c>
      <c r="D14" s="3">
        <v>1269</v>
      </c>
      <c r="E14" s="227">
        <v>10</v>
      </c>
      <c r="F14" s="3">
        <f t="shared" si="0"/>
        <v>37</v>
      </c>
      <c r="G14" s="3">
        <f t="shared" si="1"/>
        <v>12690</v>
      </c>
    </row>
    <row r="15" spans="1:9" x14ac:dyDescent="0.25">
      <c r="A15" s="6">
        <v>1</v>
      </c>
      <c r="B15" s="4" t="s">
        <v>74</v>
      </c>
      <c r="C15" s="231">
        <v>340</v>
      </c>
      <c r="D15" s="3">
        <v>1145</v>
      </c>
      <c r="E15" s="227">
        <v>9</v>
      </c>
      <c r="F15" s="3">
        <f t="shared" si="0"/>
        <v>30</v>
      </c>
      <c r="G15" s="3">
        <f t="shared" si="1"/>
        <v>10305</v>
      </c>
    </row>
    <row r="16" spans="1:9" x14ac:dyDescent="0.25">
      <c r="A16" s="6">
        <v>1</v>
      </c>
      <c r="B16" s="4" t="s">
        <v>58</v>
      </c>
      <c r="C16" s="231">
        <v>340</v>
      </c>
      <c r="D16" s="3">
        <v>405</v>
      </c>
      <c r="E16" s="227">
        <v>12.4</v>
      </c>
      <c r="F16" s="3">
        <f t="shared" si="0"/>
        <v>15</v>
      </c>
      <c r="G16" s="3">
        <f t="shared" si="1"/>
        <v>5022</v>
      </c>
    </row>
    <row r="17" spans="1:8" x14ac:dyDescent="0.25">
      <c r="A17" s="6">
        <v>1</v>
      </c>
      <c r="B17" s="4" t="s">
        <v>66</v>
      </c>
      <c r="C17" s="231">
        <v>340</v>
      </c>
      <c r="D17" s="3">
        <v>110</v>
      </c>
      <c r="E17" s="227">
        <v>20.100000000000001</v>
      </c>
      <c r="F17" s="3">
        <f t="shared" si="0"/>
        <v>7</v>
      </c>
      <c r="G17" s="3">
        <f t="shared" si="1"/>
        <v>2211</v>
      </c>
    </row>
    <row r="18" spans="1:8" x14ac:dyDescent="0.25">
      <c r="A18" s="6">
        <v>1</v>
      </c>
      <c r="B18" s="4" t="s">
        <v>40</v>
      </c>
      <c r="C18" s="231">
        <v>340</v>
      </c>
      <c r="D18" s="3">
        <v>85</v>
      </c>
      <c r="E18" s="227">
        <v>12.1</v>
      </c>
      <c r="F18" s="3">
        <f t="shared" si="0"/>
        <v>3</v>
      </c>
      <c r="G18" s="3">
        <f t="shared" si="1"/>
        <v>1029</v>
      </c>
    </row>
    <row r="19" spans="1:8" x14ac:dyDescent="0.25">
      <c r="A19" s="6">
        <v>1</v>
      </c>
      <c r="B19" s="4" t="s">
        <v>41</v>
      </c>
      <c r="C19" s="231">
        <v>340</v>
      </c>
      <c r="D19" s="3">
        <v>1128</v>
      </c>
      <c r="E19" s="227">
        <v>9.5</v>
      </c>
      <c r="F19" s="3">
        <f t="shared" si="0"/>
        <v>32</v>
      </c>
      <c r="G19" s="3">
        <f t="shared" si="1"/>
        <v>10716</v>
      </c>
    </row>
    <row r="20" spans="1:8" x14ac:dyDescent="0.25">
      <c r="A20" s="6">
        <v>1</v>
      </c>
      <c r="B20" s="4" t="s">
        <v>42</v>
      </c>
      <c r="C20" s="231">
        <v>320</v>
      </c>
      <c r="D20" s="3">
        <v>890</v>
      </c>
      <c r="E20" s="227">
        <v>10</v>
      </c>
      <c r="F20" s="3">
        <f t="shared" si="0"/>
        <v>28</v>
      </c>
      <c r="G20" s="3">
        <f t="shared" si="1"/>
        <v>8900</v>
      </c>
    </row>
    <row r="21" spans="1:8" x14ac:dyDescent="0.25">
      <c r="A21" s="6">
        <v>1</v>
      </c>
      <c r="B21" s="4" t="s">
        <v>27</v>
      </c>
      <c r="C21" s="231">
        <v>310</v>
      </c>
      <c r="D21" s="3">
        <f>4862-106</f>
        <v>4756</v>
      </c>
      <c r="E21" s="535">
        <v>6.5</v>
      </c>
      <c r="F21" s="3">
        <v>100</v>
      </c>
      <c r="G21" s="3">
        <f t="shared" si="1"/>
        <v>30914</v>
      </c>
    </row>
    <row r="22" spans="1:8" hidden="1" x14ac:dyDescent="0.25">
      <c r="A22" s="6">
        <v>1</v>
      </c>
      <c r="B22" s="59"/>
      <c r="C22" s="2"/>
      <c r="D22" s="3"/>
      <c r="E22" s="535"/>
      <c r="F22" s="3"/>
      <c r="G22" s="3"/>
    </row>
    <row r="23" spans="1:8" s="20" customFormat="1" ht="15.75" customHeight="1" x14ac:dyDescent="0.25">
      <c r="A23" s="6">
        <v>1</v>
      </c>
      <c r="B23" s="322" t="s">
        <v>5</v>
      </c>
      <c r="C23" s="409"/>
      <c r="D23" s="18">
        <f>SUM(D10:D22)</f>
        <v>12104</v>
      </c>
      <c r="E23" s="17">
        <f>G23/D23</f>
        <v>8.8899537343027095</v>
      </c>
      <c r="F23" s="18">
        <f>SUM(F10:F22)</f>
        <v>327</v>
      </c>
      <c r="G23" s="18">
        <f>SUM(G10:G22)</f>
        <v>107604</v>
      </c>
      <c r="H23" s="275"/>
    </row>
    <row r="24" spans="1:8" s="20" customFormat="1" ht="16.5" hidden="1" customHeight="1" x14ac:dyDescent="0.25">
      <c r="A24" s="6">
        <v>1</v>
      </c>
      <c r="B24" s="4"/>
      <c r="C24" s="5"/>
      <c r="D24" s="13"/>
      <c r="E24" s="14"/>
      <c r="F24" s="3"/>
      <c r="G24" s="3"/>
    </row>
    <row r="25" spans="1:8" s="46" customFormat="1" ht="18.75" customHeight="1" x14ac:dyDescent="0.25">
      <c r="A25" s="6">
        <v>1</v>
      </c>
      <c r="B25" s="21" t="s">
        <v>205</v>
      </c>
      <c r="C25" s="21"/>
      <c r="D25" s="74"/>
      <c r="E25" s="45"/>
      <c r="F25" s="45"/>
      <c r="G25" s="45"/>
    </row>
    <row r="26" spans="1:8" s="46" customFormat="1" ht="30" x14ac:dyDescent="0.25">
      <c r="A26" s="6">
        <v>1</v>
      </c>
      <c r="B26" s="23" t="s">
        <v>323</v>
      </c>
      <c r="C26" s="47"/>
      <c r="D26" s="45">
        <f>SUM(D28,D29,D30,D31)+D27/2.7</f>
        <v>32019.037037037036</v>
      </c>
      <c r="E26" s="45"/>
      <c r="F26" s="45"/>
      <c r="G26" s="45"/>
    </row>
    <row r="27" spans="1:8" s="46" customFormat="1" x14ac:dyDescent="0.25">
      <c r="A27" s="6">
        <v>1</v>
      </c>
      <c r="B27" s="23" t="s">
        <v>286</v>
      </c>
      <c r="C27" s="28"/>
      <c r="D27" s="3">
        <v>154</v>
      </c>
      <c r="E27" s="28"/>
      <c r="F27" s="28"/>
      <c r="G27" s="28"/>
    </row>
    <row r="28" spans="1:8" s="46" customFormat="1" x14ac:dyDescent="0.25">
      <c r="A28" s="6">
        <v>1</v>
      </c>
      <c r="B28" s="48" t="s">
        <v>206</v>
      </c>
      <c r="C28" s="47"/>
      <c r="D28" s="45">
        <v>12500</v>
      </c>
      <c r="E28" s="45"/>
      <c r="F28" s="45"/>
      <c r="G28" s="45"/>
    </row>
    <row r="29" spans="1:8" s="46" customFormat="1" ht="17.25" customHeight="1" x14ac:dyDescent="0.25">
      <c r="A29" s="6">
        <v>1</v>
      </c>
      <c r="B29" s="48" t="s">
        <v>207</v>
      </c>
      <c r="C29" s="47"/>
      <c r="D29" s="3">
        <v>762</v>
      </c>
      <c r="E29" s="45"/>
      <c r="F29" s="45"/>
      <c r="G29" s="45"/>
    </row>
    <row r="30" spans="1:8" s="46" customFormat="1" ht="30" x14ac:dyDescent="0.25">
      <c r="A30" s="6">
        <v>1</v>
      </c>
      <c r="B30" s="48" t="s">
        <v>208</v>
      </c>
      <c r="C30" s="47"/>
      <c r="D30" s="3">
        <v>700</v>
      </c>
      <c r="E30" s="45"/>
      <c r="F30" s="45"/>
      <c r="G30" s="45"/>
    </row>
    <row r="31" spans="1:8" s="46" customFormat="1" x14ac:dyDescent="0.25">
      <c r="A31" s="6">
        <v>1</v>
      </c>
      <c r="B31" s="23" t="s">
        <v>209</v>
      </c>
      <c r="C31" s="47"/>
      <c r="D31" s="3">
        <v>18000</v>
      </c>
      <c r="E31" s="45"/>
      <c r="F31" s="45"/>
      <c r="G31" s="45"/>
    </row>
    <row r="32" spans="1:8" s="46" customFormat="1" ht="45" x14ac:dyDescent="0.25">
      <c r="A32" s="6">
        <v>1</v>
      </c>
      <c r="B32" s="23" t="s">
        <v>285</v>
      </c>
      <c r="C32" s="47"/>
      <c r="D32" s="13">
        <v>688</v>
      </c>
      <c r="E32" s="45"/>
      <c r="F32" s="45"/>
      <c r="G32" s="45"/>
      <c r="H32" s="75"/>
    </row>
    <row r="33" spans="1:7" s="20" customFormat="1" x14ac:dyDescent="0.25">
      <c r="A33" s="6">
        <v>1</v>
      </c>
      <c r="B33" s="24" t="s">
        <v>118</v>
      </c>
      <c r="C33" s="22"/>
      <c r="D33" s="3">
        <f>D34+D35</f>
        <v>74349.529411764699</v>
      </c>
      <c r="E33" s="3"/>
      <c r="F33" s="3"/>
      <c r="G33" s="3"/>
    </row>
    <row r="34" spans="1:7" s="20" customFormat="1" x14ac:dyDescent="0.25">
      <c r="A34" s="6">
        <v>1</v>
      </c>
      <c r="B34" s="24" t="s">
        <v>259</v>
      </c>
      <c r="C34" s="207"/>
      <c r="D34" s="3">
        <v>73526</v>
      </c>
      <c r="E34" s="3"/>
      <c r="F34" s="3"/>
      <c r="G34" s="3"/>
    </row>
    <row r="35" spans="1:7" s="20" customFormat="1" x14ac:dyDescent="0.25">
      <c r="A35" s="6">
        <v>1</v>
      </c>
      <c r="B35" s="24" t="s">
        <v>261</v>
      </c>
      <c r="C35" s="207"/>
      <c r="D35" s="13">
        <f>D36/8.5</f>
        <v>823.52941176470586</v>
      </c>
      <c r="E35" s="3"/>
      <c r="F35" s="3"/>
      <c r="G35" s="3"/>
    </row>
    <row r="36" spans="1:7" s="46" customFormat="1" x14ac:dyDescent="0.25">
      <c r="A36" s="6">
        <v>1</v>
      </c>
      <c r="B36" s="44" t="s">
        <v>260</v>
      </c>
      <c r="C36" s="262"/>
      <c r="D36" s="3">
        <v>7000</v>
      </c>
      <c r="E36" s="45"/>
      <c r="F36" s="45"/>
      <c r="G36" s="45"/>
    </row>
    <row r="37" spans="1:7" s="46" customFormat="1" ht="15.75" customHeight="1" x14ac:dyDescent="0.25">
      <c r="A37" s="6">
        <v>1</v>
      </c>
      <c r="B37" s="49" t="s">
        <v>210</v>
      </c>
      <c r="C37" s="50"/>
      <c r="D37" s="47">
        <f>D26+ROUND(D34*3.2,0)+D36/3.9</f>
        <v>269096.90883190883</v>
      </c>
      <c r="E37" s="51"/>
      <c r="F37" s="51"/>
      <c r="G37" s="51"/>
    </row>
    <row r="38" spans="1:7" s="46" customFormat="1" ht="15.75" customHeight="1" x14ac:dyDescent="0.25">
      <c r="A38" s="6">
        <v>1</v>
      </c>
      <c r="B38" s="21" t="s">
        <v>153</v>
      </c>
      <c r="C38" s="22"/>
      <c r="D38" s="3"/>
      <c r="E38" s="51"/>
      <c r="F38" s="51"/>
      <c r="G38" s="51"/>
    </row>
    <row r="39" spans="1:7" s="46" customFormat="1" ht="36.75" customHeight="1" x14ac:dyDescent="0.25">
      <c r="A39" s="6">
        <v>1</v>
      </c>
      <c r="B39" s="23" t="s">
        <v>323</v>
      </c>
      <c r="C39" s="22"/>
      <c r="D39" s="3">
        <f>SUM(D40,D41,D48,D54,D55,D56)</f>
        <v>88918.999999928448</v>
      </c>
      <c r="E39" s="51"/>
      <c r="F39" s="51"/>
      <c r="G39" s="51"/>
    </row>
    <row r="40" spans="1:7" s="46" customFormat="1" ht="15.75" customHeight="1" x14ac:dyDescent="0.25">
      <c r="A40" s="6">
        <v>1</v>
      </c>
      <c r="B40" s="23" t="s">
        <v>206</v>
      </c>
      <c r="C40" s="22"/>
      <c r="D40" s="3"/>
      <c r="E40" s="51"/>
      <c r="F40" s="51"/>
      <c r="G40" s="51"/>
    </row>
    <row r="41" spans="1:7" s="46" customFormat="1" ht="15.75" customHeight="1" x14ac:dyDescent="0.25">
      <c r="A41" s="6">
        <v>1</v>
      </c>
      <c r="B41" s="48" t="s">
        <v>211</v>
      </c>
      <c r="C41" s="22"/>
      <c r="D41" s="3">
        <f>D42+D43+D44+D46</f>
        <v>15904</v>
      </c>
      <c r="E41" s="51"/>
      <c r="F41" s="51"/>
      <c r="G41" s="51"/>
    </row>
    <row r="42" spans="1:7" s="46" customFormat="1" ht="19.5" customHeight="1" x14ac:dyDescent="0.25">
      <c r="A42" s="6">
        <v>1</v>
      </c>
      <c r="B42" s="52" t="s">
        <v>212</v>
      </c>
      <c r="C42" s="22"/>
      <c r="D42" s="45">
        <v>10100</v>
      </c>
      <c r="E42" s="51"/>
      <c r="F42" s="51"/>
      <c r="G42" s="51"/>
    </row>
    <row r="43" spans="1:7" s="46" customFormat="1" ht="15.75" customHeight="1" x14ac:dyDescent="0.25">
      <c r="A43" s="6">
        <v>1</v>
      </c>
      <c r="B43" s="52" t="s">
        <v>213</v>
      </c>
      <c r="C43" s="22"/>
      <c r="D43" s="45">
        <v>3046</v>
      </c>
      <c r="E43" s="51"/>
      <c r="F43" s="51"/>
      <c r="G43" s="51"/>
    </row>
    <row r="44" spans="1:7" s="46" customFormat="1" ht="30.75" customHeight="1" x14ac:dyDescent="0.25">
      <c r="A44" s="6">
        <v>1</v>
      </c>
      <c r="B44" s="52" t="s">
        <v>214</v>
      </c>
      <c r="C44" s="22"/>
      <c r="D44" s="45">
        <v>411</v>
      </c>
      <c r="E44" s="51"/>
      <c r="F44" s="51"/>
      <c r="G44" s="51"/>
    </row>
    <row r="45" spans="1:7" s="46" customFormat="1" x14ac:dyDescent="0.25">
      <c r="A45" s="6">
        <v>1</v>
      </c>
      <c r="B45" s="52" t="s">
        <v>215</v>
      </c>
      <c r="C45" s="22"/>
      <c r="D45" s="45">
        <v>65</v>
      </c>
      <c r="E45" s="51"/>
      <c r="F45" s="51"/>
      <c r="G45" s="51"/>
    </row>
    <row r="46" spans="1:7" s="46" customFormat="1" ht="30" x14ac:dyDescent="0.25">
      <c r="A46" s="6">
        <v>1</v>
      </c>
      <c r="B46" s="52" t="s">
        <v>216</v>
      </c>
      <c r="C46" s="22"/>
      <c r="D46" s="45">
        <v>2347</v>
      </c>
      <c r="E46" s="51"/>
      <c r="F46" s="51"/>
      <c r="G46" s="51"/>
    </row>
    <row r="47" spans="1:7" s="46" customFormat="1" x14ac:dyDescent="0.25">
      <c r="A47" s="6">
        <v>1</v>
      </c>
      <c r="B47" s="52" t="s">
        <v>215</v>
      </c>
      <c r="C47" s="22"/>
      <c r="D47" s="76">
        <v>261</v>
      </c>
      <c r="E47" s="51"/>
      <c r="F47" s="51"/>
      <c r="G47" s="51"/>
    </row>
    <row r="48" spans="1:7" s="46" customFormat="1" ht="30" customHeight="1" x14ac:dyDescent="0.25">
      <c r="A48" s="6">
        <v>1</v>
      </c>
      <c r="B48" s="48" t="s">
        <v>217</v>
      </c>
      <c r="C48" s="22"/>
      <c r="D48" s="3">
        <f>SUM(D49,D50,D52)</f>
        <v>72477.999999928448</v>
      </c>
      <c r="E48" s="51"/>
      <c r="F48" s="51"/>
      <c r="G48" s="51"/>
    </row>
    <row r="49" spans="1:7" s="46" customFormat="1" ht="30" x14ac:dyDescent="0.25">
      <c r="A49" s="6">
        <v>1</v>
      </c>
      <c r="B49" s="52" t="s">
        <v>218</v>
      </c>
      <c r="C49" s="22"/>
      <c r="D49" s="3">
        <f>6637+500</f>
        <v>7137</v>
      </c>
      <c r="E49" s="51"/>
      <c r="F49" s="51"/>
      <c r="G49" s="51"/>
    </row>
    <row r="50" spans="1:7" s="46" customFormat="1" ht="45" x14ac:dyDescent="0.25">
      <c r="A50" s="6">
        <v>1</v>
      </c>
      <c r="B50" s="52" t="s">
        <v>219</v>
      </c>
      <c r="C50" s="22"/>
      <c r="D50" s="42">
        <v>63747.99999993376</v>
      </c>
      <c r="E50" s="51"/>
      <c r="F50" s="51"/>
      <c r="G50" s="51"/>
    </row>
    <row r="51" spans="1:7" s="46" customFormat="1" x14ac:dyDescent="0.25">
      <c r="A51" s="6">
        <v>1</v>
      </c>
      <c r="B51" s="52" t="s">
        <v>215</v>
      </c>
      <c r="C51" s="22"/>
      <c r="D51" s="42">
        <v>15043</v>
      </c>
      <c r="E51" s="51"/>
      <c r="F51" s="51"/>
      <c r="G51" s="51"/>
    </row>
    <row r="52" spans="1:7" s="46" customFormat="1" ht="45" x14ac:dyDescent="0.25">
      <c r="A52" s="6">
        <v>1</v>
      </c>
      <c r="B52" s="52" t="s">
        <v>220</v>
      </c>
      <c r="C52" s="22"/>
      <c r="D52" s="42">
        <v>1592.9999999946899</v>
      </c>
      <c r="E52" s="51"/>
      <c r="F52" s="51"/>
      <c r="G52" s="51"/>
    </row>
    <row r="53" spans="1:7" s="46" customFormat="1" x14ac:dyDescent="0.25">
      <c r="A53" s="6">
        <v>1</v>
      </c>
      <c r="B53" s="52" t="s">
        <v>215</v>
      </c>
      <c r="C53" s="22"/>
      <c r="D53" s="42">
        <v>1239</v>
      </c>
      <c r="E53" s="51"/>
      <c r="F53" s="51"/>
      <c r="G53" s="51"/>
    </row>
    <row r="54" spans="1:7" s="46" customFormat="1" ht="31.5" customHeight="1" x14ac:dyDescent="0.25">
      <c r="A54" s="6">
        <v>1</v>
      </c>
      <c r="B54" s="48" t="s">
        <v>221</v>
      </c>
      <c r="C54" s="22"/>
      <c r="D54" s="3"/>
      <c r="E54" s="51"/>
      <c r="F54" s="51"/>
      <c r="G54" s="51"/>
    </row>
    <row r="55" spans="1:7" s="46" customFormat="1" ht="15.75" customHeight="1" x14ac:dyDescent="0.25">
      <c r="A55" s="6">
        <v>1</v>
      </c>
      <c r="B55" s="48" t="s">
        <v>222</v>
      </c>
      <c r="C55" s="22"/>
      <c r="D55" s="3"/>
      <c r="E55" s="51"/>
      <c r="F55" s="51"/>
      <c r="G55" s="51"/>
    </row>
    <row r="56" spans="1:7" s="46" customFormat="1" ht="15.75" customHeight="1" x14ac:dyDescent="0.25">
      <c r="A56" s="6">
        <v>1</v>
      </c>
      <c r="B56" s="23" t="s">
        <v>223</v>
      </c>
      <c r="C56" s="22"/>
      <c r="D56" s="3">
        <v>537</v>
      </c>
      <c r="E56" s="51"/>
      <c r="F56" s="51"/>
      <c r="G56" s="51"/>
    </row>
    <row r="57" spans="1:7" s="46" customFormat="1" x14ac:dyDescent="0.25">
      <c r="A57" s="6">
        <v>1</v>
      </c>
      <c r="B57" s="24" t="s">
        <v>118</v>
      </c>
      <c r="C57" s="47"/>
      <c r="D57" s="45">
        <v>650</v>
      </c>
      <c r="E57" s="51"/>
      <c r="F57" s="51"/>
      <c r="G57" s="51"/>
    </row>
    <row r="58" spans="1:7" s="46" customFormat="1" x14ac:dyDescent="0.25">
      <c r="A58" s="6">
        <v>1</v>
      </c>
      <c r="B58" s="44" t="s">
        <v>150</v>
      </c>
      <c r="C58" s="47"/>
      <c r="D58" s="76"/>
      <c r="E58" s="51"/>
      <c r="F58" s="51"/>
      <c r="G58" s="51"/>
    </row>
    <row r="59" spans="1:7" s="20" customFormat="1" ht="30" x14ac:dyDescent="0.25">
      <c r="A59" s="6">
        <v>1</v>
      </c>
      <c r="B59" s="24" t="s">
        <v>119</v>
      </c>
      <c r="C59" s="207"/>
      <c r="D59" s="3">
        <f>26486-D61</f>
        <v>23625</v>
      </c>
      <c r="E59" s="3"/>
      <c r="F59" s="3"/>
      <c r="G59" s="3"/>
    </row>
    <row r="60" spans="1:7" s="46" customFormat="1" ht="15.75" customHeight="1" x14ac:dyDescent="0.25">
      <c r="A60" s="6">
        <v>1</v>
      </c>
      <c r="B60" s="24" t="s">
        <v>224</v>
      </c>
      <c r="C60" s="22"/>
      <c r="D60" s="3"/>
      <c r="E60" s="51"/>
      <c r="F60" s="51"/>
      <c r="G60" s="51"/>
    </row>
    <row r="61" spans="1:7" s="46" customFormat="1" ht="45" x14ac:dyDescent="0.25">
      <c r="A61" s="6">
        <v>1</v>
      </c>
      <c r="B61" s="24" t="s">
        <v>296</v>
      </c>
      <c r="C61" s="22"/>
      <c r="D61" s="3">
        <v>2861</v>
      </c>
      <c r="E61" s="51"/>
      <c r="F61" s="51"/>
      <c r="G61" s="51"/>
    </row>
    <row r="62" spans="1:7" s="46" customFormat="1" x14ac:dyDescent="0.25">
      <c r="A62" s="6">
        <v>1</v>
      </c>
      <c r="B62" s="54" t="s">
        <v>152</v>
      </c>
      <c r="C62" s="22"/>
      <c r="D62" s="18">
        <f>D39+ROUND(D57*3.2,0)+D59+D61</f>
        <v>117484.99999992845</v>
      </c>
      <c r="E62" s="51"/>
      <c r="F62" s="51"/>
      <c r="G62" s="51"/>
    </row>
    <row r="63" spans="1:7" s="46" customFormat="1" x14ac:dyDescent="0.25">
      <c r="A63" s="6">
        <v>1</v>
      </c>
      <c r="B63" s="55" t="s">
        <v>151</v>
      </c>
      <c r="C63" s="22"/>
      <c r="D63" s="18">
        <f>SUM(D37,D62)</f>
        <v>386581.9088318373</v>
      </c>
      <c r="E63" s="51"/>
      <c r="F63" s="51"/>
      <c r="G63" s="51"/>
    </row>
    <row r="64" spans="1:7" s="46" customFormat="1" x14ac:dyDescent="0.25">
      <c r="A64" s="6">
        <v>1</v>
      </c>
      <c r="B64" s="449" t="s">
        <v>120</v>
      </c>
      <c r="C64" s="22"/>
      <c r="D64" s="202">
        <f>SUM(D65:D67)</f>
        <v>3708</v>
      </c>
      <c r="E64" s="280"/>
      <c r="F64" s="280"/>
      <c r="G64" s="280"/>
    </row>
    <row r="65" spans="1:72" s="46" customFormat="1" ht="45" x14ac:dyDescent="0.25">
      <c r="A65" s="6">
        <v>1</v>
      </c>
      <c r="B65" s="299" t="s">
        <v>316</v>
      </c>
      <c r="C65" s="22"/>
      <c r="D65" s="3">
        <v>2523</v>
      </c>
      <c r="E65" s="280"/>
      <c r="F65" s="280"/>
      <c r="G65" s="280"/>
    </row>
    <row r="66" spans="1:72" s="46" customFormat="1" x14ac:dyDescent="0.25">
      <c r="A66" s="6">
        <v>1</v>
      </c>
      <c r="B66" s="23" t="s">
        <v>19</v>
      </c>
      <c r="C66" s="22"/>
      <c r="D66" s="3">
        <v>1065</v>
      </c>
      <c r="E66" s="280"/>
      <c r="F66" s="280"/>
      <c r="G66" s="280"/>
    </row>
    <row r="67" spans="1:72" s="46" customFormat="1" ht="30" x14ac:dyDescent="0.25">
      <c r="A67" s="6">
        <v>1</v>
      </c>
      <c r="B67" s="80" t="s">
        <v>250</v>
      </c>
      <c r="C67" s="22"/>
      <c r="D67" s="3">
        <v>120</v>
      </c>
      <c r="E67" s="280"/>
      <c r="F67" s="280"/>
      <c r="G67" s="280"/>
    </row>
    <row r="68" spans="1:72" s="20" customFormat="1" ht="18" customHeight="1" x14ac:dyDescent="0.25">
      <c r="A68" s="6">
        <v>1</v>
      </c>
      <c r="B68" s="34" t="s">
        <v>7</v>
      </c>
      <c r="C68" s="409"/>
      <c r="D68" s="3"/>
      <c r="E68" s="3"/>
      <c r="F68" s="3"/>
      <c r="G68" s="3"/>
    </row>
    <row r="69" spans="1:72" s="20" customFormat="1" ht="18" customHeight="1" x14ac:dyDescent="0.25">
      <c r="A69" s="6">
        <v>1</v>
      </c>
      <c r="B69" s="43" t="s">
        <v>139</v>
      </c>
      <c r="C69" s="409"/>
      <c r="D69" s="3"/>
      <c r="E69" s="3"/>
      <c r="F69" s="3"/>
      <c r="G69" s="3"/>
    </row>
    <row r="70" spans="1:72" s="20" customFormat="1" ht="18" customHeight="1" x14ac:dyDescent="0.25">
      <c r="A70" s="6">
        <v>1</v>
      </c>
      <c r="B70" s="29" t="s">
        <v>27</v>
      </c>
      <c r="C70" s="231">
        <v>300</v>
      </c>
      <c r="D70" s="3">
        <v>30</v>
      </c>
      <c r="E70" s="227">
        <v>11</v>
      </c>
      <c r="F70" s="3">
        <v>2</v>
      </c>
      <c r="G70" s="3">
        <f>ROUND(D70*E70,0)</f>
        <v>330</v>
      </c>
    </row>
    <row r="71" spans="1:72" s="20" customFormat="1" ht="18" customHeight="1" x14ac:dyDescent="0.25">
      <c r="A71" s="6">
        <v>1</v>
      </c>
      <c r="B71" s="29" t="s">
        <v>74</v>
      </c>
      <c r="C71" s="231">
        <v>300</v>
      </c>
      <c r="D71" s="3"/>
      <c r="E71" s="227">
        <v>9</v>
      </c>
      <c r="F71" s="3">
        <f>ROUND(G71/C71,0)</f>
        <v>0</v>
      </c>
      <c r="G71" s="3">
        <f>ROUND(D71*E71,0)</f>
        <v>0</v>
      </c>
    </row>
    <row r="72" spans="1:72" s="20" customFormat="1" ht="18" customHeight="1" x14ac:dyDescent="0.25">
      <c r="A72" s="6">
        <v>1</v>
      </c>
      <c r="B72" s="34" t="s">
        <v>9</v>
      </c>
      <c r="C72" s="231"/>
      <c r="D72" s="18">
        <f>D70+D71</f>
        <v>30</v>
      </c>
      <c r="E72" s="17">
        <f>G72/D72</f>
        <v>11</v>
      </c>
      <c r="F72" s="18">
        <f>F70+F71</f>
        <v>2</v>
      </c>
      <c r="G72" s="18">
        <f>G70+G71</f>
        <v>330</v>
      </c>
    </row>
    <row r="73" spans="1:72" s="20" customFormat="1" ht="18" customHeight="1" x14ac:dyDescent="0.25">
      <c r="A73" s="6">
        <v>1</v>
      </c>
      <c r="B73" s="43" t="s">
        <v>76</v>
      </c>
      <c r="C73" s="231"/>
      <c r="D73" s="35"/>
      <c r="E73" s="39"/>
      <c r="F73" s="35"/>
      <c r="G73" s="35"/>
    </row>
    <row r="74" spans="1:72" s="20" customFormat="1" ht="16.5" customHeight="1" x14ac:dyDescent="0.25">
      <c r="A74" s="6">
        <v>1</v>
      </c>
      <c r="B74" s="30" t="s">
        <v>37</v>
      </c>
      <c r="C74" s="231">
        <v>240</v>
      </c>
      <c r="D74" s="3">
        <v>15</v>
      </c>
      <c r="E74" s="227">
        <v>8</v>
      </c>
      <c r="F74" s="3">
        <f>ROUND(G74/C74,0)</f>
        <v>1</v>
      </c>
      <c r="G74" s="3">
        <f>ROUND(D74*E74,0)</f>
        <v>120</v>
      </c>
    </row>
    <row r="75" spans="1:72" s="20" customFormat="1" ht="16.5" customHeight="1" x14ac:dyDescent="0.25">
      <c r="A75" s="6">
        <v>1</v>
      </c>
      <c r="B75" s="30" t="s">
        <v>22</v>
      </c>
      <c r="C75" s="231">
        <v>240</v>
      </c>
      <c r="D75" s="3">
        <v>961</v>
      </c>
      <c r="E75" s="227">
        <v>8</v>
      </c>
      <c r="F75" s="3">
        <f t="shared" ref="F75:F77" si="2">ROUND(G75/C75,0)</f>
        <v>32</v>
      </c>
      <c r="G75" s="3">
        <f t="shared" ref="G75:G77" si="3">ROUND(D75*E75,0)</f>
        <v>7688</v>
      </c>
    </row>
    <row r="76" spans="1:72" s="20" customFormat="1" ht="16.5" customHeight="1" x14ac:dyDescent="0.25">
      <c r="A76" s="6">
        <v>1</v>
      </c>
      <c r="B76" s="30" t="s">
        <v>14</v>
      </c>
      <c r="C76" s="231">
        <v>240</v>
      </c>
      <c r="D76" s="3">
        <v>120</v>
      </c>
      <c r="E76" s="227">
        <v>8</v>
      </c>
      <c r="F76" s="3">
        <f t="shared" si="2"/>
        <v>4</v>
      </c>
      <c r="G76" s="3">
        <f t="shared" si="3"/>
        <v>960</v>
      </c>
    </row>
    <row r="77" spans="1:72" s="20" customFormat="1" ht="16.5" customHeight="1" x14ac:dyDescent="0.25">
      <c r="A77" s="6">
        <v>1</v>
      </c>
      <c r="B77" s="30" t="s">
        <v>39</v>
      </c>
      <c r="C77" s="231">
        <v>240</v>
      </c>
      <c r="D77" s="3">
        <v>679</v>
      </c>
      <c r="E77" s="227">
        <v>8</v>
      </c>
      <c r="F77" s="3">
        <f t="shared" si="2"/>
        <v>23</v>
      </c>
      <c r="G77" s="3">
        <f t="shared" si="3"/>
        <v>5432</v>
      </c>
    </row>
    <row r="78" spans="1:72" s="20" customFormat="1" ht="16.5" customHeight="1" x14ac:dyDescent="0.25">
      <c r="A78" s="6">
        <v>1</v>
      </c>
      <c r="B78" s="96" t="s">
        <v>141</v>
      </c>
      <c r="C78" s="536"/>
      <c r="D78" s="35">
        <f>SUM(D74:D77)</f>
        <v>1775</v>
      </c>
      <c r="E78" s="537">
        <f t="shared" ref="E78" si="4">E74</f>
        <v>8</v>
      </c>
      <c r="F78" s="35">
        <f t="shared" ref="F78:G78" si="5">SUM(F74:F77)</f>
        <v>60</v>
      </c>
      <c r="G78" s="35">
        <f t="shared" si="5"/>
        <v>14200</v>
      </c>
    </row>
    <row r="79" spans="1:72" ht="18.75" customHeight="1" x14ac:dyDescent="0.25">
      <c r="A79" s="6">
        <v>1</v>
      </c>
      <c r="B79" s="298" t="s">
        <v>116</v>
      </c>
      <c r="C79" s="381"/>
      <c r="D79" s="18">
        <f>D72+D78</f>
        <v>1805</v>
      </c>
      <c r="E79" s="17">
        <f>G79/D79</f>
        <v>8.0498614958448762</v>
      </c>
      <c r="F79" s="18">
        <f>F72+F78</f>
        <v>62</v>
      </c>
      <c r="G79" s="18">
        <f>G72+G78</f>
        <v>14530</v>
      </c>
    </row>
    <row r="80" spans="1:72" s="541" customFormat="1" ht="16.5" customHeight="1" thickBot="1" x14ac:dyDescent="0.3">
      <c r="A80" s="6">
        <v>1</v>
      </c>
      <c r="B80" s="270" t="s">
        <v>10</v>
      </c>
      <c r="C80" s="538"/>
      <c r="D80" s="539"/>
      <c r="E80" s="538"/>
      <c r="F80" s="538"/>
      <c r="G80" s="538"/>
      <c r="H80" s="540"/>
      <c r="I80" s="540"/>
      <c r="J80" s="540"/>
      <c r="K80" s="540"/>
      <c r="L80" s="540"/>
      <c r="M80" s="540"/>
      <c r="N80" s="540"/>
      <c r="O80" s="540"/>
      <c r="P80" s="540"/>
      <c r="Q80" s="540"/>
      <c r="R80" s="540"/>
      <c r="S80" s="540"/>
      <c r="T80" s="540"/>
      <c r="U80" s="540"/>
      <c r="V80" s="540"/>
      <c r="W80" s="540"/>
      <c r="X80" s="540"/>
      <c r="Y80" s="540"/>
      <c r="Z80" s="540"/>
      <c r="AA80" s="540"/>
      <c r="AB80" s="540"/>
      <c r="AC80" s="540"/>
      <c r="AD80" s="540"/>
      <c r="AE80" s="540"/>
      <c r="AF80" s="540"/>
      <c r="AG80" s="540"/>
      <c r="AH80" s="540"/>
      <c r="AI80" s="540"/>
      <c r="AJ80" s="540"/>
      <c r="AK80" s="540"/>
      <c r="AL80" s="540"/>
      <c r="AM80" s="540"/>
      <c r="AN80" s="540"/>
      <c r="AO80" s="540"/>
      <c r="AP80" s="540"/>
      <c r="AQ80" s="540"/>
      <c r="AR80" s="540"/>
      <c r="AS80" s="540"/>
      <c r="AT80" s="540"/>
      <c r="AU80" s="540"/>
      <c r="AV80" s="540"/>
      <c r="AW80" s="540"/>
      <c r="AX80" s="540"/>
      <c r="AY80" s="540"/>
      <c r="AZ80" s="540"/>
      <c r="BA80" s="540"/>
      <c r="BB80" s="540"/>
      <c r="BC80" s="540"/>
      <c r="BD80" s="540"/>
      <c r="BE80" s="540"/>
      <c r="BF80" s="540"/>
      <c r="BG80" s="540"/>
      <c r="BH80" s="540"/>
      <c r="BI80" s="540"/>
      <c r="BJ80" s="540"/>
      <c r="BK80" s="540"/>
      <c r="BL80" s="540"/>
      <c r="BM80" s="540"/>
      <c r="BN80" s="540"/>
      <c r="BO80" s="540"/>
      <c r="BP80" s="540"/>
      <c r="BQ80" s="540"/>
      <c r="BR80" s="540"/>
      <c r="BS80" s="540"/>
      <c r="BT80" s="540"/>
    </row>
    <row r="81" spans="1:8" ht="21" hidden="1" customHeight="1" x14ac:dyDescent="0.25">
      <c r="A81" s="6">
        <v>1</v>
      </c>
      <c r="B81" s="675" t="s">
        <v>88</v>
      </c>
      <c r="C81" s="542"/>
      <c r="D81" s="258"/>
      <c r="E81" s="3"/>
      <c r="F81" s="3"/>
      <c r="G81" s="3"/>
    </row>
    <row r="82" spans="1:8" hidden="1" x14ac:dyDescent="0.25">
      <c r="A82" s="6">
        <v>1</v>
      </c>
      <c r="B82" s="356" t="s">
        <v>4</v>
      </c>
      <c r="C82" s="543"/>
      <c r="D82" s="3"/>
      <c r="E82" s="3"/>
      <c r="F82" s="3"/>
      <c r="G82" s="3"/>
    </row>
    <row r="83" spans="1:8" hidden="1" x14ac:dyDescent="0.25">
      <c r="A83" s="6">
        <v>1</v>
      </c>
      <c r="B83" s="4" t="s">
        <v>37</v>
      </c>
      <c r="C83" s="231">
        <v>340</v>
      </c>
      <c r="D83" s="544">
        <v>958</v>
      </c>
      <c r="E83" s="227">
        <v>10.5</v>
      </c>
      <c r="F83" s="3">
        <f>ROUND(G83/C83,0)</f>
        <v>30</v>
      </c>
      <c r="G83" s="3">
        <f>ROUND(D83*E83,0)</f>
        <v>10059</v>
      </c>
    </row>
    <row r="84" spans="1:8" hidden="1" x14ac:dyDescent="0.25">
      <c r="A84" s="6">
        <v>1</v>
      </c>
      <c r="B84" s="4" t="s">
        <v>43</v>
      </c>
      <c r="C84" s="231">
        <v>340</v>
      </c>
      <c r="D84" s="544">
        <v>312</v>
      </c>
      <c r="E84" s="227">
        <v>10.5</v>
      </c>
      <c r="F84" s="3">
        <f>ROUND(G84/C84,0)</f>
        <v>10</v>
      </c>
      <c r="G84" s="3">
        <f>ROUND(D84*E84,0)</f>
        <v>3276</v>
      </c>
    </row>
    <row r="85" spans="1:8" hidden="1" x14ac:dyDescent="0.25">
      <c r="A85" s="6">
        <v>1</v>
      </c>
      <c r="B85" s="4" t="s">
        <v>39</v>
      </c>
      <c r="C85" s="231">
        <v>340</v>
      </c>
      <c r="D85" s="544">
        <v>623</v>
      </c>
      <c r="E85" s="227">
        <v>12</v>
      </c>
      <c r="F85" s="3">
        <f>ROUND(G85/C85,0)</f>
        <v>22</v>
      </c>
      <c r="G85" s="3">
        <f>ROUND(D85*E85,0)</f>
        <v>7476</v>
      </c>
    </row>
    <row r="86" spans="1:8" s="20" customFormat="1" hidden="1" x14ac:dyDescent="0.25">
      <c r="A86" s="6">
        <v>1</v>
      </c>
      <c r="B86" s="322" t="s">
        <v>5</v>
      </c>
      <c r="C86" s="409"/>
      <c r="D86" s="18">
        <f>D83+D84+D85</f>
        <v>1893</v>
      </c>
      <c r="E86" s="17">
        <f>G86/D86</f>
        <v>10.993660855784469</v>
      </c>
      <c r="F86" s="18">
        <f>F83+F84+F85</f>
        <v>62</v>
      </c>
      <c r="G86" s="18">
        <f>G83+G84+G85</f>
        <v>20811</v>
      </c>
    </row>
    <row r="87" spans="1:8" s="20" customFormat="1" ht="16.5" hidden="1" customHeight="1" x14ac:dyDescent="0.25">
      <c r="A87" s="6">
        <v>1</v>
      </c>
      <c r="B87" s="4"/>
      <c r="C87" s="5"/>
      <c r="D87" s="13"/>
      <c r="E87" s="14"/>
      <c r="F87" s="3"/>
      <c r="G87" s="3"/>
    </row>
    <row r="88" spans="1:8" s="46" customFormat="1" ht="18.75" hidden="1" customHeight="1" x14ac:dyDescent="0.25">
      <c r="A88" s="6">
        <v>1</v>
      </c>
      <c r="B88" s="21" t="s">
        <v>205</v>
      </c>
      <c r="C88" s="21"/>
      <c r="D88" s="74"/>
      <c r="E88" s="45"/>
      <c r="F88" s="45"/>
      <c r="G88" s="45"/>
    </row>
    <row r="89" spans="1:8" s="46" customFormat="1" ht="30" hidden="1" x14ac:dyDescent="0.25">
      <c r="A89" s="6">
        <v>1</v>
      </c>
      <c r="B89" s="23" t="s">
        <v>323</v>
      </c>
      <c r="C89" s="47"/>
      <c r="D89" s="45">
        <f>SUM(D91,D92,D93,D94)+D90/2.7</f>
        <v>22891.111111111109</v>
      </c>
      <c r="E89" s="45"/>
      <c r="F89" s="45"/>
      <c r="G89" s="45"/>
    </row>
    <row r="90" spans="1:8" s="46" customFormat="1" hidden="1" x14ac:dyDescent="0.25">
      <c r="A90" s="6">
        <v>1</v>
      </c>
      <c r="B90" s="23" t="s">
        <v>286</v>
      </c>
      <c r="C90" s="28"/>
      <c r="D90" s="3">
        <v>300</v>
      </c>
      <c r="E90" s="28"/>
      <c r="F90" s="28"/>
      <c r="G90" s="28"/>
    </row>
    <row r="91" spans="1:8" s="46" customFormat="1" hidden="1" x14ac:dyDescent="0.25">
      <c r="A91" s="6">
        <v>1</v>
      </c>
      <c r="B91" s="48" t="s">
        <v>206</v>
      </c>
      <c r="C91" s="47"/>
      <c r="D91" s="45"/>
      <c r="E91" s="45"/>
      <c r="F91" s="45"/>
      <c r="G91" s="45"/>
    </row>
    <row r="92" spans="1:8" s="46" customFormat="1" ht="17.25" hidden="1" customHeight="1" x14ac:dyDescent="0.25">
      <c r="A92" s="6">
        <v>1</v>
      </c>
      <c r="B92" s="48" t="s">
        <v>207</v>
      </c>
      <c r="C92" s="47"/>
      <c r="D92" s="3">
        <v>11600</v>
      </c>
      <c r="E92" s="45"/>
      <c r="F92" s="45"/>
      <c r="G92" s="45"/>
    </row>
    <row r="93" spans="1:8" s="46" customFormat="1" ht="30" hidden="1" x14ac:dyDescent="0.25">
      <c r="A93" s="6">
        <v>1</v>
      </c>
      <c r="B93" s="48" t="s">
        <v>208</v>
      </c>
      <c r="C93" s="47"/>
      <c r="D93" s="3">
        <v>180</v>
      </c>
      <c r="E93" s="45"/>
      <c r="F93" s="45"/>
      <c r="G93" s="45"/>
    </row>
    <row r="94" spans="1:8" s="46" customFormat="1" hidden="1" x14ac:dyDescent="0.25">
      <c r="A94" s="6">
        <v>1</v>
      </c>
      <c r="B94" s="23" t="s">
        <v>209</v>
      </c>
      <c r="C94" s="47"/>
      <c r="D94" s="3">
        <v>11000</v>
      </c>
      <c r="E94" s="45"/>
      <c r="F94" s="45"/>
      <c r="G94" s="45"/>
    </row>
    <row r="95" spans="1:8" s="46" customFormat="1" ht="45" hidden="1" x14ac:dyDescent="0.25">
      <c r="A95" s="6">
        <v>1</v>
      </c>
      <c r="B95" s="23" t="s">
        <v>285</v>
      </c>
      <c r="C95" s="47"/>
      <c r="D95" s="13">
        <v>243</v>
      </c>
      <c r="E95" s="45"/>
      <c r="F95" s="45"/>
      <c r="G95" s="45"/>
      <c r="H95" s="75"/>
    </row>
    <row r="96" spans="1:8" s="20" customFormat="1" hidden="1" x14ac:dyDescent="0.25">
      <c r="A96" s="6">
        <v>1</v>
      </c>
      <c r="B96" s="24" t="s">
        <v>118</v>
      </c>
      <c r="C96" s="22"/>
      <c r="D96" s="3">
        <f>D97+D98</f>
        <v>47770.294117647063</v>
      </c>
      <c r="E96" s="3"/>
      <c r="F96" s="3"/>
      <c r="G96" s="3"/>
      <c r="H96" s="545"/>
    </row>
    <row r="97" spans="1:7" s="20" customFormat="1" hidden="1" x14ac:dyDescent="0.25">
      <c r="A97" s="6">
        <v>1</v>
      </c>
      <c r="B97" s="24" t="s">
        <v>259</v>
      </c>
      <c r="C97" s="207"/>
      <c r="D97" s="3">
        <v>39535</v>
      </c>
      <c r="E97" s="3"/>
      <c r="F97" s="3"/>
      <c r="G97" s="3"/>
    </row>
    <row r="98" spans="1:7" s="20" customFormat="1" hidden="1" x14ac:dyDescent="0.25">
      <c r="A98" s="6">
        <v>1</v>
      </c>
      <c r="B98" s="24" t="s">
        <v>261</v>
      </c>
      <c r="C98" s="207"/>
      <c r="D98" s="13">
        <f>D99/8.5</f>
        <v>8235.2941176470595</v>
      </c>
      <c r="E98" s="3"/>
      <c r="F98" s="3"/>
      <c r="G98" s="3"/>
    </row>
    <row r="99" spans="1:7" s="46" customFormat="1" hidden="1" x14ac:dyDescent="0.25">
      <c r="A99" s="6">
        <v>1</v>
      </c>
      <c r="B99" s="44" t="s">
        <v>260</v>
      </c>
      <c r="C99" s="262"/>
      <c r="D99" s="3">
        <v>70000</v>
      </c>
      <c r="E99" s="45"/>
      <c r="F99" s="45"/>
      <c r="G99" s="45"/>
    </row>
    <row r="100" spans="1:7" s="46" customFormat="1" ht="15.75" hidden="1" customHeight="1" x14ac:dyDescent="0.25">
      <c r="A100" s="6">
        <v>1</v>
      </c>
      <c r="B100" s="49" t="s">
        <v>210</v>
      </c>
      <c r="C100" s="50"/>
      <c r="D100" s="47">
        <f>D89+ROUND(D97*3.2,0)+D99/3.9</f>
        <v>167351.82905982906</v>
      </c>
      <c r="E100" s="51"/>
      <c r="F100" s="51"/>
      <c r="G100" s="51"/>
    </row>
    <row r="101" spans="1:7" s="46" customFormat="1" ht="15.75" hidden="1" customHeight="1" x14ac:dyDescent="0.25">
      <c r="A101" s="6">
        <v>1</v>
      </c>
      <c r="B101" s="21" t="s">
        <v>153</v>
      </c>
      <c r="C101" s="22"/>
      <c r="D101" s="3"/>
      <c r="E101" s="51"/>
      <c r="F101" s="51"/>
      <c r="G101" s="51"/>
    </row>
    <row r="102" spans="1:7" s="46" customFormat="1" ht="33.75" hidden="1" customHeight="1" x14ac:dyDescent="0.25">
      <c r="A102" s="6">
        <v>1</v>
      </c>
      <c r="B102" s="23" t="s">
        <v>323</v>
      </c>
      <c r="C102" s="22"/>
      <c r="D102" s="3">
        <f>SUM(D103,D104,D111,D117,D118,D119)</f>
        <v>28366</v>
      </c>
      <c r="E102" s="51"/>
      <c r="F102" s="51"/>
      <c r="G102" s="51"/>
    </row>
    <row r="103" spans="1:7" s="46" customFormat="1" ht="15.75" hidden="1" customHeight="1" x14ac:dyDescent="0.25">
      <c r="A103" s="6">
        <v>1</v>
      </c>
      <c r="B103" s="23" t="s">
        <v>206</v>
      </c>
      <c r="C103" s="22"/>
      <c r="D103" s="3"/>
      <c r="E103" s="51"/>
      <c r="F103" s="51"/>
      <c r="G103" s="51"/>
    </row>
    <row r="104" spans="1:7" s="46" customFormat="1" ht="15.75" hidden="1" customHeight="1" x14ac:dyDescent="0.25">
      <c r="A104" s="6">
        <v>1</v>
      </c>
      <c r="B104" s="48" t="s">
        <v>211</v>
      </c>
      <c r="C104" s="22"/>
      <c r="D104" s="3">
        <f>D105+D106+D107+D109</f>
        <v>8101</v>
      </c>
      <c r="E104" s="51"/>
      <c r="F104" s="51"/>
      <c r="G104" s="51"/>
    </row>
    <row r="105" spans="1:7" s="46" customFormat="1" ht="19.5" hidden="1" customHeight="1" x14ac:dyDescent="0.25">
      <c r="A105" s="6">
        <v>1</v>
      </c>
      <c r="B105" s="52" t="s">
        <v>212</v>
      </c>
      <c r="C105" s="22"/>
      <c r="D105" s="45">
        <f>6033-233</f>
        <v>5800</v>
      </c>
      <c r="E105" s="51"/>
      <c r="F105" s="51"/>
      <c r="G105" s="51"/>
    </row>
    <row r="106" spans="1:7" s="46" customFormat="1" ht="15.75" hidden="1" customHeight="1" x14ac:dyDescent="0.25">
      <c r="A106" s="6">
        <v>1</v>
      </c>
      <c r="B106" s="52" t="s">
        <v>213</v>
      </c>
      <c r="C106" s="22"/>
      <c r="D106" s="45">
        <v>1750</v>
      </c>
      <c r="E106" s="51"/>
      <c r="F106" s="51"/>
      <c r="G106" s="51"/>
    </row>
    <row r="107" spans="1:7" s="46" customFormat="1" ht="30.75" hidden="1" customHeight="1" x14ac:dyDescent="0.25">
      <c r="A107" s="6">
        <v>1</v>
      </c>
      <c r="B107" s="52" t="s">
        <v>214</v>
      </c>
      <c r="C107" s="22"/>
      <c r="D107" s="45"/>
      <c r="E107" s="51"/>
      <c r="F107" s="51"/>
      <c r="G107" s="51"/>
    </row>
    <row r="108" spans="1:7" s="46" customFormat="1" hidden="1" x14ac:dyDescent="0.25">
      <c r="A108" s="6">
        <v>1</v>
      </c>
      <c r="B108" s="52" t="s">
        <v>215</v>
      </c>
      <c r="C108" s="22"/>
      <c r="D108" s="45"/>
      <c r="E108" s="51"/>
      <c r="F108" s="51"/>
      <c r="G108" s="51"/>
    </row>
    <row r="109" spans="1:7" s="46" customFormat="1" ht="30" hidden="1" x14ac:dyDescent="0.25">
      <c r="A109" s="6">
        <v>1</v>
      </c>
      <c r="B109" s="52" t="s">
        <v>216</v>
      </c>
      <c r="C109" s="22"/>
      <c r="D109" s="45">
        <v>551</v>
      </c>
      <c r="E109" s="51"/>
      <c r="F109" s="51"/>
      <c r="G109" s="51"/>
    </row>
    <row r="110" spans="1:7" s="46" customFormat="1" hidden="1" x14ac:dyDescent="0.25">
      <c r="A110" s="6">
        <v>1</v>
      </c>
      <c r="B110" s="52" t="s">
        <v>215</v>
      </c>
      <c r="C110" s="22"/>
      <c r="D110" s="76">
        <v>60</v>
      </c>
      <c r="E110" s="51"/>
      <c r="F110" s="51"/>
      <c r="G110" s="51"/>
    </row>
    <row r="111" spans="1:7" s="46" customFormat="1" ht="30" hidden="1" customHeight="1" x14ac:dyDescent="0.25">
      <c r="A111" s="6">
        <v>1</v>
      </c>
      <c r="B111" s="48" t="s">
        <v>217</v>
      </c>
      <c r="C111" s="22"/>
      <c r="D111" s="3">
        <f>SUM(D112,D113,D115)</f>
        <v>20265</v>
      </c>
      <c r="E111" s="51"/>
      <c r="F111" s="51"/>
      <c r="G111" s="51"/>
    </row>
    <row r="112" spans="1:7" s="46" customFormat="1" ht="30" hidden="1" x14ac:dyDescent="0.25">
      <c r="A112" s="6">
        <v>1</v>
      </c>
      <c r="B112" s="52" t="s">
        <v>218</v>
      </c>
      <c r="C112" s="22"/>
      <c r="D112" s="3">
        <f>3917+1083</f>
        <v>5000</v>
      </c>
      <c r="E112" s="51"/>
      <c r="F112" s="51"/>
      <c r="G112" s="51"/>
    </row>
    <row r="113" spans="1:7" s="46" customFormat="1" ht="45" hidden="1" x14ac:dyDescent="0.25">
      <c r="A113" s="6">
        <v>1</v>
      </c>
      <c r="B113" s="52" t="s">
        <v>219</v>
      </c>
      <c r="C113" s="22"/>
      <c r="D113" s="42">
        <v>11631</v>
      </c>
      <c r="E113" s="51"/>
      <c r="F113" s="51"/>
      <c r="G113" s="51"/>
    </row>
    <row r="114" spans="1:7" s="46" customFormat="1" hidden="1" x14ac:dyDescent="0.25">
      <c r="A114" s="6">
        <v>1</v>
      </c>
      <c r="B114" s="52" t="s">
        <v>215</v>
      </c>
      <c r="C114" s="22"/>
      <c r="D114" s="42">
        <v>3250</v>
      </c>
      <c r="E114" s="51"/>
      <c r="F114" s="51"/>
      <c r="G114" s="51"/>
    </row>
    <row r="115" spans="1:7" s="46" customFormat="1" ht="45" hidden="1" x14ac:dyDescent="0.25">
      <c r="A115" s="6">
        <v>1</v>
      </c>
      <c r="B115" s="52" t="s">
        <v>220</v>
      </c>
      <c r="C115" s="22"/>
      <c r="D115" s="42">
        <v>3634</v>
      </c>
      <c r="E115" s="51"/>
      <c r="F115" s="51"/>
      <c r="G115" s="51"/>
    </row>
    <row r="116" spans="1:7" s="46" customFormat="1" hidden="1" x14ac:dyDescent="0.25">
      <c r="A116" s="6">
        <v>1</v>
      </c>
      <c r="B116" s="52" t="s">
        <v>215</v>
      </c>
      <c r="C116" s="22"/>
      <c r="D116" s="42">
        <v>2410</v>
      </c>
      <c r="E116" s="51"/>
      <c r="F116" s="51"/>
      <c r="G116" s="51"/>
    </row>
    <row r="117" spans="1:7" s="46" customFormat="1" ht="31.5" hidden="1" customHeight="1" x14ac:dyDescent="0.25">
      <c r="A117" s="6">
        <v>1</v>
      </c>
      <c r="B117" s="48" t="s">
        <v>221</v>
      </c>
      <c r="C117" s="22"/>
      <c r="D117" s="3"/>
      <c r="E117" s="51"/>
      <c r="F117" s="51"/>
      <c r="G117" s="51"/>
    </row>
    <row r="118" spans="1:7" s="46" customFormat="1" ht="15.75" hidden="1" customHeight="1" x14ac:dyDescent="0.25">
      <c r="A118" s="6">
        <v>1</v>
      </c>
      <c r="B118" s="48" t="s">
        <v>222</v>
      </c>
      <c r="C118" s="22"/>
      <c r="D118" s="3"/>
      <c r="E118" s="51"/>
      <c r="F118" s="51"/>
      <c r="G118" s="51"/>
    </row>
    <row r="119" spans="1:7" s="46" customFormat="1" ht="15.75" hidden="1" customHeight="1" x14ac:dyDescent="0.25">
      <c r="A119" s="6">
        <v>1</v>
      </c>
      <c r="B119" s="23" t="s">
        <v>223</v>
      </c>
      <c r="C119" s="22"/>
      <c r="D119" s="3"/>
      <c r="E119" s="51"/>
      <c r="F119" s="51"/>
      <c r="G119" s="51"/>
    </row>
    <row r="120" spans="1:7" s="46" customFormat="1" hidden="1" x14ac:dyDescent="0.25">
      <c r="A120" s="6">
        <v>1</v>
      </c>
      <c r="B120" s="24" t="s">
        <v>118</v>
      </c>
      <c r="C120" s="47"/>
      <c r="D120" s="45"/>
      <c r="E120" s="51"/>
      <c r="F120" s="51"/>
      <c r="G120" s="51"/>
    </row>
    <row r="121" spans="1:7" s="46" customFormat="1" hidden="1" x14ac:dyDescent="0.25">
      <c r="A121" s="6">
        <v>1</v>
      </c>
      <c r="B121" s="44" t="s">
        <v>150</v>
      </c>
      <c r="C121" s="47"/>
      <c r="D121" s="76"/>
      <c r="E121" s="51"/>
      <c r="F121" s="51"/>
      <c r="G121" s="51"/>
    </row>
    <row r="122" spans="1:7" s="20" customFormat="1" ht="30" hidden="1" x14ac:dyDescent="0.25">
      <c r="A122" s="6">
        <v>1</v>
      </c>
      <c r="B122" s="24" t="s">
        <v>119</v>
      </c>
      <c r="C122" s="207"/>
      <c r="D122" s="3">
        <v>12450</v>
      </c>
      <c r="E122" s="3"/>
      <c r="F122" s="3"/>
      <c r="G122" s="3"/>
    </row>
    <row r="123" spans="1:7" s="46" customFormat="1" ht="15.75" hidden="1" customHeight="1" x14ac:dyDescent="0.25">
      <c r="A123" s="6">
        <v>1</v>
      </c>
      <c r="B123" s="24" t="s">
        <v>224</v>
      </c>
      <c r="C123" s="22"/>
      <c r="D123" s="3"/>
      <c r="E123" s="51"/>
      <c r="F123" s="51"/>
      <c r="G123" s="51"/>
    </row>
    <row r="124" spans="1:7" s="46" customFormat="1" ht="45" hidden="1" x14ac:dyDescent="0.25">
      <c r="A124" s="6">
        <v>1</v>
      </c>
      <c r="B124" s="24" t="s">
        <v>296</v>
      </c>
      <c r="C124" s="22"/>
      <c r="D124" s="3">
        <v>50</v>
      </c>
      <c r="E124" s="51"/>
      <c r="F124" s="51"/>
      <c r="G124" s="51"/>
    </row>
    <row r="125" spans="1:7" s="46" customFormat="1" hidden="1" x14ac:dyDescent="0.25">
      <c r="A125" s="6">
        <v>1</v>
      </c>
      <c r="B125" s="54" t="s">
        <v>152</v>
      </c>
      <c r="C125" s="22"/>
      <c r="D125" s="18">
        <f>D102+ROUND(D120*3.2,0)+D122+D124</f>
        <v>40866</v>
      </c>
      <c r="E125" s="51"/>
      <c r="F125" s="51"/>
      <c r="G125" s="51"/>
    </row>
    <row r="126" spans="1:7" s="46" customFormat="1" hidden="1" x14ac:dyDescent="0.25">
      <c r="A126" s="6">
        <v>1</v>
      </c>
      <c r="B126" s="55" t="s">
        <v>151</v>
      </c>
      <c r="C126" s="22"/>
      <c r="D126" s="18">
        <f>SUM(D100,D125)</f>
        <v>208217.82905982906</v>
      </c>
      <c r="E126" s="51"/>
      <c r="F126" s="51"/>
      <c r="G126" s="51"/>
    </row>
    <row r="127" spans="1:7" s="20" customFormat="1" hidden="1" x14ac:dyDescent="0.25">
      <c r="A127" s="6">
        <v>1</v>
      </c>
      <c r="B127" s="34" t="s">
        <v>7</v>
      </c>
      <c r="C127" s="546"/>
      <c r="D127" s="3"/>
      <c r="E127" s="3"/>
      <c r="F127" s="3"/>
      <c r="G127" s="3"/>
    </row>
    <row r="128" spans="1:7" s="20" customFormat="1" hidden="1" x14ac:dyDescent="0.25">
      <c r="A128" s="6">
        <v>1</v>
      </c>
      <c r="B128" s="43" t="s">
        <v>139</v>
      </c>
      <c r="C128" s="546"/>
      <c r="D128" s="3"/>
      <c r="E128" s="3"/>
      <c r="F128" s="3"/>
      <c r="G128" s="3"/>
    </row>
    <row r="129" spans="1:7" s="20" customFormat="1" hidden="1" x14ac:dyDescent="0.25">
      <c r="A129" s="6">
        <v>1</v>
      </c>
      <c r="B129" s="29" t="s">
        <v>57</v>
      </c>
      <c r="C129" s="226">
        <v>300</v>
      </c>
      <c r="D129" s="3"/>
      <c r="E129" s="3">
        <v>10.5</v>
      </c>
      <c r="F129" s="3">
        <f t="shared" ref="F129:F130" si="6">ROUND(G129/C129,0)</f>
        <v>0</v>
      </c>
      <c r="G129" s="3">
        <f t="shared" ref="G129:G130" si="7">ROUND(D129*E129,0)</f>
        <v>0</v>
      </c>
    </row>
    <row r="130" spans="1:7" s="20" customFormat="1" hidden="1" x14ac:dyDescent="0.25">
      <c r="A130" s="6">
        <v>1</v>
      </c>
      <c r="B130" s="29" t="s">
        <v>21</v>
      </c>
      <c r="C130" s="226">
        <v>300</v>
      </c>
      <c r="D130" s="3"/>
      <c r="E130" s="3">
        <v>10.5</v>
      </c>
      <c r="F130" s="3">
        <f t="shared" si="6"/>
        <v>0</v>
      </c>
      <c r="G130" s="3">
        <f t="shared" si="7"/>
        <v>0</v>
      </c>
    </row>
    <row r="131" spans="1:7" s="20" customFormat="1" hidden="1" x14ac:dyDescent="0.25">
      <c r="A131" s="6">
        <v>1</v>
      </c>
      <c r="B131" s="29" t="s">
        <v>43</v>
      </c>
      <c r="C131" s="226">
        <v>300</v>
      </c>
      <c r="D131" s="3">
        <v>110</v>
      </c>
      <c r="E131" s="227">
        <v>10.5</v>
      </c>
      <c r="F131" s="3">
        <f>ROUND(G131/C131,0)</f>
        <v>4</v>
      </c>
      <c r="G131" s="3">
        <f>ROUND(D131*E131,0)</f>
        <v>1155</v>
      </c>
    </row>
    <row r="132" spans="1:7" s="20" customFormat="1" ht="16.5" hidden="1" customHeight="1" x14ac:dyDescent="0.25">
      <c r="A132" s="6">
        <v>1</v>
      </c>
      <c r="B132" s="219" t="s">
        <v>9</v>
      </c>
      <c r="C132" s="228"/>
      <c r="D132" s="35">
        <f>SUM(D129:D131)</f>
        <v>110</v>
      </c>
      <c r="E132" s="229">
        <f>G132/D132</f>
        <v>10.5</v>
      </c>
      <c r="F132" s="35">
        <f t="shared" ref="F132:G132" si="8">SUM(F129:F131)</f>
        <v>4</v>
      </c>
      <c r="G132" s="35">
        <f t="shared" si="8"/>
        <v>1155</v>
      </c>
    </row>
    <row r="133" spans="1:7" s="20" customFormat="1" ht="16.5" hidden="1" customHeight="1" x14ac:dyDescent="0.25">
      <c r="A133" s="6">
        <v>1</v>
      </c>
      <c r="B133" s="43" t="s">
        <v>76</v>
      </c>
      <c r="C133" s="228"/>
      <c r="D133" s="202"/>
      <c r="E133" s="230"/>
      <c r="F133" s="202"/>
      <c r="G133" s="202"/>
    </row>
    <row r="134" spans="1:7" s="20" customFormat="1" hidden="1" x14ac:dyDescent="0.25">
      <c r="A134" s="6">
        <v>1</v>
      </c>
      <c r="B134" s="30" t="s">
        <v>21</v>
      </c>
      <c r="C134" s="231">
        <v>240</v>
      </c>
      <c r="D134" s="3">
        <v>400</v>
      </c>
      <c r="E134" s="227">
        <v>8</v>
      </c>
      <c r="F134" s="3">
        <f>ROUND(G134/C134,0)</f>
        <v>13</v>
      </c>
      <c r="G134" s="3">
        <f>ROUND(D134*E134,0)</f>
        <v>3200</v>
      </c>
    </row>
    <row r="135" spans="1:7" s="20" customFormat="1" hidden="1" x14ac:dyDescent="0.25">
      <c r="A135" s="6">
        <v>1</v>
      </c>
      <c r="B135" s="30" t="s">
        <v>27</v>
      </c>
      <c r="C135" s="231">
        <v>240</v>
      </c>
      <c r="D135" s="3">
        <v>20</v>
      </c>
      <c r="E135" s="227">
        <v>8</v>
      </c>
      <c r="F135" s="3">
        <f t="shared" ref="F135:F140" si="9">ROUND(G135/C135,0)</f>
        <v>1</v>
      </c>
      <c r="G135" s="3">
        <f t="shared" ref="G135:G140" si="10">ROUND(D135*E135,0)</f>
        <v>160</v>
      </c>
    </row>
    <row r="136" spans="1:7" s="20" customFormat="1" hidden="1" x14ac:dyDescent="0.25">
      <c r="A136" s="6">
        <v>1</v>
      </c>
      <c r="B136" s="30" t="s">
        <v>39</v>
      </c>
      <c r="C136" s="231">
        <v>240</v>
      </c>
      <c r="D136" s="3">
        <v>850</v>
      </c>
      <c r="E136" s="227">
        <v>8</v>
      </c>
      <c r="F136" s="3">
        <f t="shared" si="9"/>
        <v>28</v>
      </c>
      <c r="G136" s="3">
        <f t="shared" si="10"/>
        <v>6800</v>
      </c>
    </row>
    <row r="137" spans="1:7" s="20" customFormat="1" hidden="1" x14ac:dyDescent="0.25">
      <c r="A137" s="6">
        <v>1</v>
      </c>
      <c r="B137" s="30" t="s">
        <v>45</v>
      </c>
      <c r="C137" s="231">
        <v>240</v>
      </c>
      <c r="D137" s="3">
        <v>30</v>
      </c>
      <c r="E137" s="227">
        <v>8</v>
      </c>
      <c r="F137" s="3">
        <f t="shared" si="9"/>
        <v>1</v>
      </c>
      <c r="G137" s="3">
        <f t="shared" si="10"/>
        <v>240</v>
      </c>
    </row>
    <row r="138" spans="1:7" s="20" customFormat="1" hidden="1" x14ac:dyDescent="0.25">
      <c r="A138" s="6">
        <v>1</v>
      </c>
      <c r="B138" s="30" t="s">
        <v>22</v>
      </c>
      <c r="C138" s="231">
        <v>240</v>
      </c>
      <c r="D138" s="3">
        <v>400</v>
      </c>
      <c r="E138" s="227">
        <v>8</v>
      </c>
      <c r="F138" s="3">
        <f t="shared" si="9"/>
        <v>13</v>
      </c>
      <c r="G138" s="3">
        <f t="shared" si="10"/>
        <v>3200</v>
      </c>
    </row>
    <row r="139" spans="1:7" s="20" customFormat="1" hidden="1" x14ac:dyDescent="0.25">
      <c r="A139" s="6">
        <v>1</v>
      </c>
      <c r="B139" s="30" t="s">
        <v>8</v>
      </c>
      <c r="C139" s="231">
        <v>240</v>
      </c>
      <c r="D139" s="3">
        <v>50</v>
      </c>
      <c r="E139" s="227">
        <v>8</v>
      </c>
      <c r="F139" s="3">
        <f t="shared" si="9"/>
        <v>2</v>
      </c>
      <c r="G139" s="3">
        <f t="shared" si="10"/>
        <v>400</v>
      </c>
    </row>
    <row r="140" spans="1:7" s="20" customFormat="1" hidden="1" x14ac:dyDescent="0.25">
      <c r="A140" s="6">
        <v>1</v>
      </c>
      <c r="B140" s="30" t="s">
        <v>35</v>
      </c>
      <c r="C140" s="231">
        <v>240</v>
      </c>
      <c r="D140" s="3">
        <v>30</v>
      </c>
      <c r="E140" s="227">
        <v>8</v>
      </c>
      <c r="F140" s="3">
        <f t="shared" si="9"/>
        <v>1</v>
      </c>
      <c r="G140" s="3">
        <f t="shared" si="10"/>
        <v>240</v>
      </c>
    </row>
    <row r="141" spans="1:7" s="20" customFormat="1" hidden="1" x14ac:dyDescent="0.25">
      <c r="A141" s="6">
        <v>1</v>
      </c>
      <c r="B141" s="219" t="s">
        <v>141</v>
      </c>
      <c r="C141" s="547"/>
      <c r="D141" s="35">
        <f>SUM(D134:D140)</f>
        <v>1780</v>
      </c>
      <c r="E141" s="537">
        <f>G141/D141</f>
        <v>8</v>
      </c>
      <c r="F141" s="35">
        <f>SUM(F134:F140)</f>
        <v>59</v>
      </c>
      <c r="G141" s="35">
        <f>SUM(G134:G140)</f>
        <v>14240</v>
      </c>
    </row>
    <row r="142" spans="1:7" ht="21.75" hidden="1" customHeight="1" x14ac:dyDescent="0.25">
      <c r="A142" s="6">
        <v>1</v>
      </c>
      <c r="B142" s="31" t="s">
        <v>116</v>
      </c>
      <c r="C142" s="231"/>
      <c r="D142" s="18">
        <f>D132+D141</f>
        <v>1890</v>
      </c>
      <c r="E142" s="17">
        <f>G142/D142</f>
        <v>8.1455026455026456</v>
      </c>
      <c r="F142" s="18">
        <f>F132+F141</f>
        <v>63</v>
      </c>
      <c r="G142" s="18">
        <f>G132+G141</f>
        <v>15395</v>
      </c>
    </row>
    <row r="143" spans="1:7" ht="31.5" hidden="1" customHeight="1" x14ac:dyDescent="0.25">
      <c r="A143" s="6">
        <v>1</v>
      </c>
      <c r="B143" s="32" t="s">
        <v>165</v>
      </c>
      <c r="C143" s="231"/>
      <c r="D143" s="202">
        <v>3389</v>
      </c>
      <c r="E143" s="202"/>
      <c r="F143" s="202"/>
      <c r="G143" s="202"/>
    </row>
    <row r="144" spans="1:7" ht="31.5" hidden="1" customHeight="1" x14ac:dyDescent="0.25">
      <c r="A144" s="6">
        <v>1</v>
      </c>
      <c r="B144" s="32" t="s">
        <v>166</v>
      </c>
      <c r="C144" s="548"/>
      <c r="D144" s="549">
        <v>1100</v>
      </c>
      <c r="E144" s="385"/>
      <c r="F144" s="294"/>
      <c r="G144" s="294"/>
    </row>
    <row r="145" spans="1:72" s="541" customFormat="1" hidden="1" x14ac:dyDescent="0.25">
      <c r="A145" s="6">
        <v>1</v>
      </c>
      <c r="B145" s="550" t="s">
        <v>10</v>
      </c>
      <c r="C145" s="551"/>
      <c r="D145" s="551"/>
      <c r="E145" s="551"/>
      <c r="F145" s="551"/>
      <c r="G145" s="551"/>
      <c r="H145" s="540"/>
      <c r="I145" s="540"/>
      <c r="J145" s="540"/>
      <c r="K145" s="540"/>
      <c r="L145" s="540"/>
      <c r="M145" s="540"/>
      <c r="N145" s="540"/>
      <c r="O145" s="540"/>
      <c r="P145" s="540"/>
      <c r="Q145" s="540"/>
      <c r="R145" s="540"/>
      <c r="S145" s="540"/>
      <c r="T145" s="540"/>
      <c r="U145" s="540"/>
      <c r="V145" s="540"/>
      <c r="W145" s="540"/>
      <c r="X145" s="540"/>
      <c r="Y145" s="540"/>
      <c r="Z145" s="540"/>
      <c r="AA145" s="540"/>
      <c r="AB145" s="540"/>
      <c r="AC145" s="540"/>
      <c r="AD145" s="540"/>
      <c r="AE145" s="540"/>
      <c r="AF145" s="540"/>
      <c r="AG145" s="540"/>
      <c r="AH145" s="540"/>
      <c r="AI145" s="540"/>
      <c r="AJ145" s="540"/>
      <c r="AK145" s="540"/>
      <c r="AL145" s="540"/>
      <c r="AM145" s="540"/>
      <c r="AN145" s="540"/>
      <c r="AO145" s="540"/>
      <c r="AP145" s="540"/>
      <c r="AQ145" s="540"/>
      <c r="AR145" s="540"/>
      <c r="AS145" s="540"/>
      <c r="AT145" s="540"/>
      <c r="AU145" s="540"/>
      <c r="AV145" s="540"/>
      <c r="AW145" s="540"/>
      <c r="AX145" s="540"/>
      <c r="AY145" s="540"/>
      <c r="AZ145" s="540"/>
      <c r="BA145" s="540"/>
      <c r="BB145" s="540"/>
      <c r="BC145" s="540"/>
      <c r="BD145" s="540"/>
      <c r="BE145" s="540"/>
      <c r="BF145" s="540"/>
      <c r="BG145" s="540"/>
      <c r="BH145" s="540"/>
      <c r="BI145" s="540"/>
      <c r="BJ145" s="540"/>
      <c r="BK145" s="540"/>
      <c r="BL145" s="540"/>
      <c r="BM145" s="540"/>
      <c r="BN145" s="540"/>
      <c r="BO145" s="540"/>
      <c r="BP145" s="540"/>
      <c r="BQ145" s="540"/>
      <c r="BR145" s="540"/>
      <c r="BS145" s="540"/>
      <c r="BT145" s="540"/>
    </row>
    <row r="146" spans="1:72" hidden="1" x14ac:dyDescent="0.25">
      <c r="A146" s="6">
        <v>1</v>
      </c>
      <c r="B146" s="552"/>
      <c r="C146" s="542"/>
      <c r="D146" s="3"/>
      <c r="E146" s="3"/>
      <c r="F146" s="3"/>
      <c r="G146" s="3"/>
    </row>
    <row r="147" spans="1:72" ht="18" hidden="1" customHeight="1" x14ac:dyDescent="0.25">
      <c r="A147" s="6">
        <v>1</v>
      </c>
      <c r="B147" s="553" t="s">
        <v>89</v>
      </c>
      <c r="C147" s="543"/>
      <c r="D147" s="3"/>
      <c r="E147" s="3"/>
      <c r="F147" s="3"/>
      <c r="G147" s="3"/>
    </row>
    <row r="148" spans="1:72" hidden="1" x14ac:dyDescent="0.25">
      <c r="A148" s="6">
        <v>1</v>
      </c>
      <c r="B148" s="356" t="s">
        <v>4</v>
      </c>
      <c r="C148" s="543"/>
      <c r="D148" s="3"/>
      <c r="E148" s="3"/>
      <c r="F148" s="3"/>
      <c r="G148" s="3"/>
    </row>
    <row r="149" spans="1:72" hidden="1" x14ac:dyDescent="0.25">
      <c r="A149" s="6">
        <v>1</v>
      </c>
      <c r="B149" s="4" t="s">
        <v>37</v>
      </c>
      <c r="C149" s="231">
        <v>340</v>
      </c>
      <c r="D149" s="3">
        <f>1540-15</f>
        <v>1525</v>
      </c>
      <c r="E149" s="227">
        <v>11</v>
      </c>
      <c r="F149" s="3">
        <f>ROUND(G149/C149,0)</f>
        <v>49</v>
      </c>
      <c r="G149" s="3">
        <f>ROUND(D149*E149,0)</f>
        <v>16775</v>
      </c>
    </row>
    <row r="150" spans="1:72" hidden="1" x14ac:dyDescent="0.25">
      <c r="A150" s="6">
        <v>1</v>
      </c>
      <c r="B150" s="4" t="s">
        <v>44</v>
      </c>
      <c r="C150" s="231">
        <v>340</v>
      </c>
      <c r="D150" s="3">
        <v>460</v>
      </c>
      <c r="E150" s="227">
        <v>9.6999999999999993</v>
      </c>
      <c r="F150" s="3">
        <f>ROUND(G150/C150,0)</f>
        <v>13</v>
      </c>
      <c r="G150" s="3">
        <f>ROUND(D150*E150,0)</f>
        <v>4462</v>
      </c>
    </row>
    <row r="151" spans="1:72" hidden="1" x14ac:dyDescent="0.25">
      <c r="A151" s="6">
        <v>1</v>
      </c>
      <c r="B151" s="4" t="s">
        <v>8</v>
      </c>
      <c r="C151" s="231">
        <v>340</v>
      </c>
      <c r="D151" s="3">
        <f>1725-6</f>
        <v>1719</v>
      </c>
      <c r="E151" s="227">
        <v>7.5</v>
      </c>
      <c r="F151" s="3">
        <f>ROUND(G151/C151,0)</f>
        <v>38</v>
      </c>
      <c r="G151" s="3">
        <f>ROUND(D151*E151,0)</f>
        <v>12893</v>
      </c>
    </row>
    <row r="152" spans="1:72" hidden="1" x14ac:dyDescent="0.25">
      <c r="A152" s="6">
        <v>1</v>
      </c>
      <c r="B152" s="4" t="s">
        <v>101</v>
      </c>
      <c r="C152" s="231">
        <v>340</v>
      </c>
      <c r="D152" s="3">
        <v>1190</v>
      </c>
      <c r="E152" s="227">
        <v>9.6999999999999993</v>
      </c>
      <c r="F152" s="3">
        <f>ROUND(G152/C152,0)</f>
        <v>34</v>
      </c>
      <c r="G152" s="3">
        <f>ROUND(D152*E152,0)</f>
        <v>11543</v>
      </c>
    </row>
    <row r="153" spans="1:72" s="20" customFormat="1" hidden="1" x14ac:dyDescent="0.25">
      <c r="A153" s="6">
        <v>1</v>
      </c>
      <c r="B153" s="322" t="s">
        <v>5</v>
      </c>
      <c r="C153" s="409"/>
      <c r="D153" s="18">
        <f>D149+D150+D151+D152</f>
        <v>4894</v>
      </c>
      <c r="E153" s="17">
        <f>G153/D153</f>
        <v>9.3324478953821011</v>
      </c>
      <c r="F153" s="18">
        <f>F149+F150+F151+F152</f>
        <v>134</v>
      </c>
      <c r="G153" s="18">
        <f>G149+G150+G151+G152</f>
        <v>45673</v>
      </c>
    </row>
    <row r="154" spans="1:72" s="46" customFormat="1" ht="18.75" hidden="1" customHeight="1" x14ac:dyDescent="0.25">
      <c r="A154" s="6">
        <v>1</v>
      </c>
      <c r="B154" s="21" t="s">
        <v>205</v>
      </c>
      <c r="C154" s="21"/>
      <c r="D154" s="74"/>
      <c r="E154" s="45"/>
      <c r="F154" s="45"/>
      <c r="G154" s="45"/>
    </row>
    <row r="155" spans="1:72" s="46" customFormat="1" ht="15" hidden="1" customHeight="1" x14ac:dyDescent="0.25">
      <c r="A155" s="6">
        <v>1</v>
      </c>
      <c r="B155" s="23" t="s">
        <v>323</v>
      </c>
      <c r="C155" s="47"/>
      <c r="D155" s="45">
        <f>SUM(D156,D157,D158,D159)</f>
        <v>30200</v>
      </c>
      <c r="E155" s="45"/>
      <c r="F155" s="45"/>
      <c r="G155" s="45"/>
    </row>
    <row r="156" spans="1:72" s="46" customFormat="1" ht="15" hidden="1" customHeight="1" x14ac:dyDescent="0.25">
      <c r="A156" s="6">
        <v>1</v>
      </c>
      <c r="B156" s="48" t="s">
        <v>206</v>
      </c>
      <c r="C156" s="47"/>
      <c r="D156" s="45"/>
      <c r="E156" s="45"/>
      <c r="F156" s="45"/>
      <c r="G156" s="45"/>
    </row>
    <row r="157" spans="1:72" s="46" customFormat="1" ht="17.25" hidden="1" customHeight="1" x14ac:dyDescent="0.25">
      <c r="A157" s="6">
        <v>1</v>
      </c>
      <c r="B157" s="48" t="s">
        <v>207</v>
      </c>
      <c r="C157" s="47"/>
      <c r="D157" s="3">
        <v>2200</v>
      </c>
      <c r="E157" s="45"/>
      <c r="F157" s="45"/>
      <c r="G157" s="45"/>
    </row>
    <row r="158" spans="1:72" s="46" customFormat="1" ht="30" hidden="1" customHeight="1" x14ac:dyDescent="0.25">
      <c r="A158" s="6">
        <v>1</v>
      </c>
      <c r="B158" s="48" t="s">
        <v>208</v>
      </c>
      <c r="C158" s="47"/>
      <c r="D158" s="3"/>
      <c r="E158" s="45"/>
      <c r="F158" s="45"/>
      <c r="G158" s="45"/>
    </row>
    <row r="159" spans="1:72" s="46" customFormat="1" ht="15" hidden="1" customHeight="1" x14ac:dyDescent="0.25">
      <c r="A159" s="6">
        <v>1</v>
      </c>
      <c r="B159" s="23" t="s">
        <v>209</v>
      </c>
      <c r="C159" s="47"/>
      <c r="D159" s="3">
        <v>28000</v>
      </c>
      <c r="E159" s="45"/>
      <c r="F159" s="45"/>
      <c r="G159" s="45"/>
    </row>
    <row r="160" spans="1:72" s="46" customFormat="1" ht="45" hidden="1" customHeight="1" x14ac:dyDescent="0.25">
      <c r="A160" s="6">
        <v>1</v>
      </c>
      <c r="B160" s="23" t="s">
        <v>285</v>
      </c>
      <c r="C160" s="47"/>
      <c r="D160" s="13">
        <v>1114</v>
      </c>
      <c r="E160" s="45"/>
      <c r="F160" s="45"/>
      <c r="G160" s="45"/>
      <c r="H160" s="75"/>
    </row>
    <row r="161" spans="1:7" s="20" customFormat="1" ht="15" hidden="1" customHeight="1" x14ac:dyDescent="0.25">
      <c r="A161" s="6">
        <v>1</v>
      </c>
      <c r="B161" s="24" t="s">
        <v>118</v>
      </c>
      <c r="C161" s="22"/>
      <c r="D161" s="3">
        <v>25000</v>
      </c>
      <c r="E161" s="3"/>
      <c r="F161" s="3"/>
      <c r="G161" s="3"/>
    </row>
    <row r="162" spans="1:7" s="46" customFormat="1" ht="15" hidden="1" customHeight="1" x14ac:dyDescent="0.25">
      <c r="A162" s="6">
        <v>1</v>
      </c>
      <c r="B162" s="44" t="s">
        <v>150</v>
      </c>
      <c r="C162" s="262"/>
      <c r="D162" s="3"/>
      <c r="E162" s="45"/>
      <c r="F162" s="45"/>
      <c r="G162" s="45"/>
    </row>
    <row r="163" spans="1:7" s="46" customFormat="1" ht="15.75" hidden="1" customHeight="1" x14ac:dyDescent="0.25">
      <c r="A163" s="6">
        <v>1</v>
      </c>
      <c r="B163" s="49" t="s">
        <v>210</v>
      </c>
      <c r="C163" s="50"/>
      <c r="D163" s="47">
        <f>D155+ROUND(D161*3.2,0)</f>
        <v>110200</v>
      </c>
      <c r="E163" s="51"/>
      <c r="F163" s="51"/>
      <c r="G163" s="51"/>
    </row>
    <row r="164" spans="1:7" s="46" customFormat="1" ht="15.75" hidden="1" customHeight="1" x14ac:dyDescent="0.25">
      <c r="A164" s="6">
        <v>1</v>
      </c>
      <c r="B164" s="21" t="s">
        <v>153</v>
      </c>
      <c r="C164" s="22"/>
      <c r="D164" s="3"/>
      <c r="E164" s="51"/>
      <c r="F164" s="51"/>
      <c r="G164" s="51"/>
    </row>
    <row r="165" spans="1:7" s="46" customFormat="1" ht="36" hidden="1" customHeight="1" x14ac:dyDescent="0.25">
      <c r="A165" s="6">
        <v>1</v>
      </c>
      <c r="B165" s="23" t="s">
        <v>323</v>
      </c>
      <c r="C165" s="22"/>
      <c r="D165" s="3">
        <f>SUM(D166,D167,D174,D180,D181,D182)</f>
        <v>16262</v>
      </c>
      <c r="E165" s="51"/>
      <c r="F165" s="51"/>
      <c r="G165" s="51"/>
    </row>
    <row r="166" spans="1:7" s="46" customFormat="1" ht="15.75" hidden="1" customHeight="1" x14ac:dyDescent="0.25">
      <c r="A166" s="6">
        <v>1</v>
      </c>
      <c r="B166" s="23" t="s">
        <v>206</v>
      </c>
      <c r="C166" s="22"/>
      <c r="D166" s="3"/>
      <c r="E166" s="51"/>
      <c r="F166" s="51"/>
      <c r="G166" s="51"/>
    </row>
    <row r="167" spans="1:7" s="46" customFormat="1" ht="15.75" hidden="1" customHeight="1" x14ac:dyDescent="0.25">
      <c r="A167" s="6">
        <v>1</v>
      </c>
      <c r="B167" s="48" t="s">
        <v>211</v>
      </c>
      <c r="C167" s="22"/>
      <c r="D167" s="3">
        <f>D168+D169+D170+D172</f>
        <v>9862</v>
      </c>
      <c r="E167" s="51"/>
      <c r="F167" s="51"/>
      <c r="G167" s="51"/>
    </row>
    <row r="168" spans="1:7" s="46" customFormat="1" ht="19.5" hidden="1" customHeight="1" x14ac:dyDescent="0.25">
      <c r="A168" s="6">
        <v>1</v>
      </c>
      <c r="B168" s="52" t="s">
        <v>212</v>
      </c>
      <c r="C168" s="22"/>
      <c r="D168" s="45">
        <f>8017-500</f>
        <v>7517</v>
      </c>
      <c r="E168" s="51"/>
      <c r="F168" s="51"/>
      <c r="G168" s="51"/>
    </row>
    <row r="169" spans="1:7" s="46" customFormat="1" ht="15.75" hidden="1" customHeight="1" x14ac:dyDescent="0.25">
      <c r="A169" s="6">
        <v>1</v>
      </c>
      <c r="B169" s="52" t="s">
        <v>213</v>
      </c>
      <c r="C169" s="22"/>
      <c r="D169" s="45">
        <v>2345</v>
      </c>
      <c r="E169" s="51"/>
      <c r="F169" s="51"/>
      <c r="G169" s="51"/>
    </row>
    <row r="170" spans="1:7" s="46" customFormat="1" ht="30.75" hidden="1" customHeight="1" x14ac:dyDescent="0.25">
      <c r="A170" s="6">
        <v>1</v>
      </c>
      <c r="B170" s="52" t="s">
        <v>214</v>
      </c>
      <c r="C170" s="22"/>
      <c r="D170" s="45"/>
      <c r="E170" s="51"/>
      <c r="F170" s="51"/>
      <c r="G170" s="51"/>
    </row>
    <row r="171" spans="1:7" s="46" customFormat="1" ht="15" hidden="1" customHeight="1" x14ac:dyDescent="0.25">
      <c r="A171" s="6">
        <v>1</v>
      </c>
      <c r="B171" s="52" t="s">
        <v>215</v>
      </c>
      <c r="C171" s="22"/>
      <c r="D171" s="45"/>
      <c r="E171" s="51"/>
      <c r="F171" s="51"/>
      <c r="G171" s="51"/>
    </row>
    <row r="172" spans="1:7" s="46" customFormat="1" ht="30" hidden="1" customHeight="1" x14ac:dyDescent="0.25">
      <c r="A172" s="6">
        <v>1</v>
      </c>
      <c r="B172" s="52" t="s">
        <v>216</v>
      </c>
      <c r="C172" s="22"/>
      <c r="D172" s="45"/>
      <c r="E172" s="51"/>
      <c r="F172" s="51"/>
      <c r="G172" s="51"/>
    </row>
    <row r="173" spans="1:7" s="46" customFormat="1" ht="15" hidden="1" customHeight="1" x14ac:dyDescent="0.25">
      <c r="A173" s="6">
        <v>1</v>
      </c>
      <c r="B173" s="52" t="s">
        <v>215</v>
      </c>
      <c r="C173" s="22"/>
      <c r="D173" s="76"/>
      <c r="E173" s="51"/>
      <c r="F173" s="51"/>
      <c r="G173" s="51"/>
    </row>
    <row r="174" spans="1:7" s="46" customFormat="1" ht="30" hidden="1" customHeight="1" x14ac:dyDescent="0.25">
      <c r="A174" s="6">
        <v>1</v>
      </c>
      <c r="B174" s="48" t="s">
        <v>217</v>
      </c>
      <c r="C174" s="22"/>
      <c r="D174" s="3">
        <f>SUM(D175,D176,D178)</f>
        <v>6400</v>
      </c>
      <c r="E174" s="51"/>
      <c r="F174" s="51"/>
      <c r="G174" s="51"/>
    </row>
    <row r="175" spans="1:7" s="46" customFormat="1" ht="30" hidden="1" customHeight="1" x14ac:dyDescent="0.25">
      <c r="A175" s="6">
        <v>1</v>
      </c>
      <c r="B175" s="52" t="s">
        <v>218</v>
      </c>
      <c r="C175" s="22"/>
      <c r="D175" s="3">
        <v>6400</v>
      </c>
      <c r="E175" s="51"/>
      <c r="F175" s="51"/>
      <c r="G175" s="51"/>
    </row>
    <row r="176" spans="1:7" s="46" customFormat="1" ht="45" hidden="1" customHeight="1" x14ac:dyDescent="0.25">
      <c r="A176" s="6">
        <v>1</v>
      </c>
      <c r="B176" s="52" t="s">
        <v>219</v>
      </c>
      <c r="C176" s="22"/>
      <c r="D176" s="42"/>
      <c r="E176" s="51"/>
      <c r="F176" s="51"/>
      <c r="G176" s="51"/>
    </row>
    <row r="177" spans="1:7" s="46" customFormat="1" ht="15" hidden="1" customHeight="1" x14ac:dyDescent="0.25">
      <c r="A177" s="6">
        <v>1</v>
      </c>
      <c r="B177" s="52" t="s">
        <v>215</v>
      </c>
      <c r="C177" s="22"/>
      <c r="D177" s="42"/>
      <c r="E177" s="51"/>
      <c r="F177" s="51"/>
      <c r="G177" s="51"/>
    </row>
    <row r="178" spans="1:7" s="46" customFormat="1" ht="45" hidden="1" customHeight="1" x14ac:dyDescent="0.25">
      <c r="A178" s="6">
        <v>1</v>
      </c>
      <c r="B178" s="52" t="s">
        <v>220</v>
      </c>
      <c r="C178" s="22"/>
      <c r="D178" s="42"/>
      <c r="E178" s="51"/>
      <c r="F178" s="51"/>
      <c r="G178" s="51"/>
    </row>
    <row r="179" spans="1:7" s="46" customFormat="1" ht="15" hidden="1" customHeight="1" x14ac:dyDescent="0.25">
      <c r="A179" s="6">
        <v>1</v>
      </c>
      <c r="B179" s="52" t="s">
        <v>215</v>
      </c>
      <c r="C179" s="22"/>
      <c r="D179" s="42"/>
      <c r="E179" s="51"/>
      <c r="F179" s="51"/>
      <c r="G179" s="51"/>
    </row>
    <row r="180" spans="1:7" s="46" customFormat="1" ht="31.5" hidden="1" customHeight="1" x14ac:dyDescent="0.25">
      <c r="A180" s="6">
        <v>1</v>
      </c>
      <c r="B180" s="48" t="s">
        <v>221</v>
      </c>
      <c r="C180" s="22"/>
      <c r="D180" s="3"/>
      <c r="E180" s="51"/>
      <c r="F180" s="51"/>
      <c r="G180" s="51"/>
    </row>
    <row r="181" spans="1:7" s="46" customFormat="1" ht="15.75" hidden="1" customHeight="1" x14ac:dyDescent="0.25">
      <c r="A181" s="6">
        <v>1</v>
      </c>
      <c r="B181" s="48" t="s">
        <v>222</v>
      </c>
      <c r="C181" s="22"/>
      <c r="D181" s="3"/>
      <c r="E181" s="51"/>
      <c r="F181" s="51"/>
      <c r="G181" s="51"/>
    </row>
    <row r="182" spans="1:7" s="46" customFormat="1" ht="15.75" hidden="1" customHeight="1" x14ac:dyDescent="0.25">
      <c r="A182" s="6">
        <v>1</v>
      </c>
      <c r="B182" s="23" t="s">
        <v>223</v>
      </c>
      <c r="C182" s="22"/>
      <c r="D182" s="3"/>
      <c r="E182" s="51"/>
      <c r="F182" s="51"/>
      <c r="G182" s="51"/>
    </row>
    <row r="183" spans="1:7" s="46" customFormat="1" ht="15" hidden="1" customHeight="1" x14ac:dyDescent="0.25">
      <c r="A183" s="6">
        <v>1</v>
      </c>
      <c r="B183" s="24" t="s">
        <v>118</v>
      </c>
      <c r="C183" s="47"/>
      <c r="D183" s="45"/>
      <c r="E183" s="51"/>
      <c r="F183" s="51"/>
      <c r="G183" s="51"/>
    </row>
    <row r="184" spans="1:7" s="46" customFormat="1" ht="15" hidden="1" customHeight="1" x14ac:dyDescent="0.25">
      <c r="A184" s="6">
        <v>1</v>
      </c>
      <c r="B184" s="44" t="s">
        <v>150</v>
      </c>
      <c r="C184" s="47"/>
      <c r="D184" s="76"/>
      <c r="E184" s="51"/>
      <c r="F184" s="51"/>
      <c r="G184" s="51"/>
    </row>
    <row r="185" spans="1:7" s="20" customFormat="1" ht="30" hidden="1" customHeight="1" x14ac:dyDescent="0.25">
      <c r="A185" s="6">
        <v>1</v>
      </c>
      <c r="B185" s="24" t="s">
        <v>119</v>
      </c>
      <c r="C185" s="207"/>
      <c r="D185" s="3">
        <f>11460-2500-D187</f>
        <v>6960</v>
      </c>
      <c r="E185" s="3"/>
      <c r="F185" s="3"/>
      <c r="G185" s="3"/>
    </row>
    <row r="186" spans="1:7" s="46" customFormat="1" ht="15.75" hidden="1" customHeight="1" x14ac:dyDescent="0.25">
      <c r="A186" s="6">
        <v>1</v>
      </c>
      <c r="B186" s="24" t="s">
        <v>224</v>
      </c>
      <c r="C186" s="22"/>
      <c r="D186" s="3"/>
      <c r="E186" s="51"/>
      <c r="F186" s="51"/>
      <c r="G186" s="51"/>
    </row>
    <row r="187" spans="1:7" s="46" customFormat="1" ht="42" hidden="1" customHeight="1" x14ac:dyDescent="0.25">
      <c r="A187" s="6">
        <v>1</v>
      </c>
      <c r="B187" s="24" t="s">
        <v>296</v>
      </c>
      <c r="C187" s="22"/>
      <c r="D187" s="3">
        <v>2000</v>
      </c>
      <c r="E187" s="51"/>
      <c r="F187" s="51"/>
      <c r="G187" s="51"/>
    </row>
    <row r="188" spans="1:7" s="46" customFormat="1" ht="15" hidden="1" customHeight="1" x14ac:dyDescent="0.25">
      <c r="A188" s="6">
        <v>1</v>
      </c>
      <c r="B188" s="54" t="s">
        <v>152</v>
      </c>
      <c r="C188" s="22"/>
      <c r="D188" s="18">
        <f>D165+ROUND(D183*3.2,0)+D185+D187</f>
        <v>25222</v>
      </c>
      <c r="E188" s="51"/>
      <c r="F188" s="51"/>
      <c r="G188" s="51"/>
    </row>
    <row r="189" spans="1:7" s="46" customFormat="1" ht="15" hidden="1" customHeight="1" x14ac:dyDescent="0.25">
      <c r="A189" s="6">
        <v>1</v>
      </c>
      <c r="B189" s="55" t="s">
        <v>151</v>
      </c>
      <c r="C189" s="22"/>
      <c r="D189" s="18">
        <f>SUM(D163,D188)</f>
        <v>135422</v>
      </c>
      <c r="E189" s="51"/>
      <c r="F189" s="51"/>
      <c r="G189" s="51"/>
    </row>
    <row r="190" spans="1:7" s="46" customFormat="1" ht="15" hidden="1" customHeight="1" x14ac:dyDescent="0.25">
      <c r="A190" s="6">
        <v>1</v>
      </c>
      <c r="B190" s="449" t="s">
        <v>120</v>
      </c>
      <c r="C190" s="22"/>
      <c r="D190" s="202">
        <f>D191</f>
        <v>2700</v>
      </c>
      <c r="E190" s="280"/>
      <c r="F190" s="280"/>
      <c r="G190" s="280"/>
    </row>
    <row r="191" spans="1:7" s="46" customFormat="1" ht="45" hidden="1" x14ac:dyDescent="0.25">
      <c r="A191" s="6">
        <v>1</v>
      </c>
      <c r="B191" s="299" t="s">
        <v>316</v>
      </c>
      <c r="C191" s="22"/>
      <c r="D191" s="3">
        <v>2700</v>
      </c>
      <c r="E191" s="280"/>
      <c r="F191" s="280"/>
      <c r="G191" s="280"/>
    </row>
    <row r="192" spans="1:7" s="20" customFormat="1" ht="15.75" hidden="1" x14ac:dyDescent="0.25">
      <c r="A192" s="6">
        <v>1</v>
      </c>
      <c r="B192" s="27" t="s">
        <v>7</v>
      </c>
      <c r="C192" s="554"/>
      <c r="D192" s="3"/>
      <c r="E192" s="3"/>
      <c r="F192" s="3"/>
      <c r="G192" s="3"/>
    </row>
    <row r="193" spans="1:72" s="20" customFormat="1" ht="15.75" hidden="1" x14ac:dyDescent="0.25">
      <c r="A193" s="6">
        <v>1</v>
      </c>
      <c r="B193" s="371" t="s">
        <v>139</v>
      </c>
      <c r="C193" s="554"/>
      <c r="D193" s="3"/>
      <c r="E193" s="3"/>
      <c r="F193" s="3"/>
      <c r="G193" s="3"/>
    </row>
    <row r="194" spans="1:72" s="20" customFormat="1" hidden="1" x14ac:dyDescent="0.25">
      <c r="A194" s="6">
        <v>1</v>
      </c>
      <c r="B194" s="29" t="s">
        <v>8</v>
      </c>
      <c r="C194" s="554">
        <v>300</v>
      </c>
      <c r="D194" s="543">
        <v>780</v>
      </c>
      <c r="E194" s="555">
        <v>7.5</v>
      </c>
      <c r="F194" s="3">
        <f>ROUND(G194/C194,0)</f>
        <v>20</v>
      </c>
      <c r="G194" s="3">
        <f>ROUND(D194*E194,0)</f>
        <v>5850</v>
      </c>
    </row>
    <row r="195" spans="1:72" s="20" customFormat="1" hidden="1" x14ac:dyDescent="0.25">
      <c r="A195" s="6">
        <v>1</v>
      </c>
      <c r="B195" s="29" t="s">
        <v>45</v>
      </c>
      <c r="C195" s="554">
        <v>300</v>
      </c>
      <c r="D195" s="543">
        <v>140</v>
      </c>
      <c r="E195" s="555">
        <v>10</v>
      </c>
      <c r="F195" s="3">
        <f>ROUND(G195/C195,0)</f>
        <v>5</v>
      </c>
      <c r="G195" s="3">
        <f>ROUND(D195*E195,0)</f>
        <v>1400</v>
      </c>
    </row>
    <row r="196" spans="1:72" s="20" customFormat="1" hidden="1" x14ac:dyDescent="0.25">
      <c r="A196" s="6">
        <v>1</v>
      </c>
      <c r="B196" s="29" t="s">
        <v>44</v>
      </c>
      <c r="C196" s="554">
        <v>300</v>
      </c>
      <c r="D196" s="543">
        <v>100</v>
      </c>
      <c r="E196" s="556">
        <v>4</v>
      </c>
      <c r="F196" s="3">
        <f>ROUND(G196/C196,0)</f>
        <v>1</v>
      </c>
      <c r="G196" s="3">
        <f>ROUND(D196*E196,0)</f>
        <v>400</v>
      </c>
    </row>
    <row r="197" spans="1:72" s="20" customFormat="1" hidden="1" x14ac:dyDescent="0.25">
      <c r="A197" s="6">
        <v>1</v>
      </c>
      <c r="B197" s="219" t="s">
        <v>9</v>
      </c>
      <c r="C197" s="557"/>
      <c r="D197" s="557">
        <f>D194+D195+D196</f>
        <v>1020</v>
      </c>
      <c r="E197" s="17">
        <f>G197/D197</f>
        <v>7.5</v>
      </c>
      <c r="F197" s="557">
        <f>F194+F195+F196</f>
        <v>26</v>
      </c>
      <c r="G197" s="557">
        <f>G194+G195+G196</f>
        <v>7650</v>
      </c>
    </row>
    <row r="198" spans="1:72" s="20" customFormat="1" hidden="1" x14ac:dyDescent="0.25">
      <c r="A198" s="6">
        <v>1</v>
      </c>
      <c r="B198" s="43" t="s">
        <v>76</v>
      </c>
      <c r="C198" s="557"/>
      <c r="D198" s="558"/>
      <c r="E198" s="39"/>
      <c r="F198" s="558"/>
      <c r="G198" s="558"/>
    </row>
    <row r="199" spans="1:72" s="20" customFormat="1" hidden="1" x14ac:dyDescent="0.25">
      <c r="A199" s="6">
        <v>1</v>
      </c>
      <c r="B199" s="30" t="s">
        <v>57</v>
      </c>
      <c r="C199" s="28">
        <v>240</v>
      </c>
      <c r="D199" s="13">
        <v>149</v>
      </c>
      <c r="E199" s="293">
        <v>8</v>
      </c>
      <c r="F199" s="3">
        <f>ROUND(G199/C199,0)</f>
        <v>5</v>
      </c>
      <c r="G199" s="3">
        <f>ROUND(D199*E199,0)</f>
        <v>1192</v>
      </c>
    </row>
    <row r="200" spans="1:72" s="20" customFormat="1" hidden="1" x14ac:dyDescent="0.25">
      <c r="A200" s="6">
        <v>1</v>
      </c>
      <c r="B200" s="30" t="s">
        <v>22</v>
      </c>
      <c r="C200" s="28">
        <v>240</v>
      </c>
      <c r="D200" s="13">
        <v>464</v>
      </c>
      <c r="E200" s="293">
        <v>8</v>
      </c>
      <c r="F200" s="3">
        <f t="shared" ref="F200" si="11">ROUND(G200/C200,0)</f>
        <v>15</v>
      </c>
      <c r="G200" s="3">
        <f t="shared" ref="G200" si="12">ROUND(D200*E200,0)</f>
        <v>3712</v>
      </c>
    </row>
    <row r="201" spans="1:72" s="20" customFormat="1" hidden="1" x14ac:dyDescent="0.25">
      <c r="A201" s="6">
        <v>1</v>
      </c>
      <c r="B201" s="219" t="s">
        <v>141</v>
      </c>
      <c r="C201" s="559"/>
      <c r="D201" s="35">
        <f>SUM(D199:D200)</f>
        <v>613</v>
      </c>
      <c r="E201" s="560">
        <f>E199</f>
        <v>8</v>
      </c>
      <c r="F201" s="35">
        <f>SUM(F199:F200)</f>
        <v>20</v>
      </c>
      <c r="G201" s="35">
        <f>SUM(G199:G200)</f>
        <v>4904</v>
      </c>
    </row>
    <row r="202" spans="1:72" ht="17.25" hidden="1" customHeight="1" x14ac:dyDescent="0.25">
      <c r="A202" s="6">
        <v>1</v>
      </c>
      <c r="B202" s="31" t="s">
        <v>116</v>
      </c>
      <c r="C202" s="381"/>
      <c r="D202" s="18">
        <f>D197+D201</f>
        <v>1633</v>
      </c>
      <c r="E202" s="17">
        <f>G202/D202</f>
        <v>7.6876913655848131</v>
      </c>
      <c r="F202" s="18">
        <f>F197+F201</f>
        <v>46</v>
      </c>
      <c r="G202" s="18">
        <f>G197+G201</f>
        <v>12554</v>
      </c>
    </row>
    <row r="203" spans="1:72" s="541" customFormat="1" ht="18" hidden="1" customHeight="1" x14ac:dyDescent="0.25">
      <c r="A203" s="6">
        <v>1</v>
      </c>
      <c r="B203" s="550" t="s">
        <v>10</v>
      </c>
      <c r="C203" s="551"/>
      <c r="D203" s="551"/>
      <c r="E203" s="551"/>
      <c r="F203" s="551"/>
      <c r="G203" s="551"/>
      <c r="H203" s="540"/>
      <c r="I203" s="540"/>
      <c r="J203" s="540"/>
      <c r="K203" s="540"/>
      <c r="L203" s="540"/>
      <c r="M203" s="540"/>
      <c r="N203" s="540"/>
      <c r="O203" s="540"/>
      <c r="P203" s="540"/>
      <c r="Q203" s="540"/>
      <c r="R203" s="540"/>
      <c r="S203" s="540"/>
      <c r="T203" s="540"/>
      <c r="U203" s="540"/>
      <c r="V203" s="540"/>
      <c r="W203" s="540"/>
      <c r="X203" s="540"/>
      <c r="Y203" s="540"/>
      <c r="Z203" s="540"/>
      <c r="AA203" s="540"/>
      <c r="AB203" s="540"/>
      <c r="AC203" s="540"/>
      <c r="AD203" s="540"/>
      <c r="AE203" s="540"/>
      <c r="AF203" s="540"/>
      <c r="AG203" s="540"/>
      <c r="AH203" s="540"/>
      <c r="AI203" s="540"/>
      <c r="AJ203" s="540"/>
      <c r="AK203" s="540"/>
      <c r="AL203" s="540"/>
      <c r="AM203" s="540"/>
      <c r="AN203" s="540"/>
      <c r="AO203" s="540"/>
      <c r="AP203" s="540"/>
      <c r="AQ203" s="540"/>
      <c r="AR203" s="540"/>
      <c r="AS203" s="540"/>
      <c r="AT203" s="540"/>
      <c r="AU203" s="540"/>
      <c r="AV203" s="540"/>
      <c r="AW203" s="540"/>
      <c r="AX203" s="540"/>
      <c r="AY203" s="540"/>
      <c r="AZ203" s="540"/>
      <c r="BA203" s="540"/>
      <c r="BB203" s="540"/>
      <c r="BC203" s="540"/>
      <c r="BD203" s="540"/>
      <c r="BE203" s="540"/>
      <c r="BF203" s="540"/>
      <c r="BG203" s="540"/>
      <c r="BH203" s="540"/>
      <c r="BI203" s="540"/>
      <c r="BJ203" s="540"/>
      <c r="BK203" s="540"/>
      <c r="BL203" s="540"/>
      <c r="BM203" s="540"/>
      <c r="BN203" s="540"/>
      <c r="BO203" s="540"/>
      <c r="BP203" s="540"/>
      <c r="BQ203" s="540"/>
      <c r="BR203" s="540"/>
      <c r="BS203" s="540"/>
      <c r="BT203" s="540"/>
    </row>
    <row r="204" spans="1:72" hidden="1" x14ac:dyDescent="0.25">
      <c r="A204" s="6">
        <v>1</v>
      </c>
      <c r="B204" s="676"/>
      <c r="C204" s="539"/>
      <c r="D204" s="3"/>
      <c r="E204" s="3"/>
      <c r="F204" s="3"/>
      <c r="G204" s="3"/>
    </row>
    <row r="205" spans="1:72" ht="20.25" hidden="1" customHeight="1" x14ac:dyDescent="0.25">
      <c r="A205" s="6">
        <v>1</v>
      </c>
      <c r="B205" s="553" t="s">
        <v>90</v>
      </c>
      <c r="C205" s="543"/>
      <c r="D205" s="3"/>
      <c r="E205" s="3"/>
      <c r="F205" s="3"/>
      <c r="G205" s="3"/>
    </row>
    <row r="206" spans="1:72" hidden="1" x14ac:dyDescent="0.25">
      <c r="A206" s="6">
        <v>1</v>
      </c>
      <c r="B206" s="356" t="s">
        <v>4</v>
      </c>
      <c r="C206" s="543"/>
      <c r="D206" s="3"/>
      <c r="E206" s="3"/>
      <c r="F206" s="3"/>
      <c r="G206" s="3"/>
    </row>
    <row r="207" spans="1:72" hidden="1" x14ac:dyDescent="0.25">
      <c r="A207" s="6">
        <v>1</v>
      </c>
      <c r="B207" s="4" t="s">
        <v>11</v>
      </c>
      <c r="C207" s="231">
        <v>340</v>
      </c>
      <c r="D207" s="3">
        <v>2750</v>
      </c>
      <c r="E207" s="227">
        <v>9</v>
      </c>
      <c r="F207" s="3">
        <f t="shared" ref="F207:F222" si="13">ROUND(G207/C207,0)</f>
        <v>73</v>
      </c>
      <c r="G207" s="3">
        <f t="shared" ref="G207:G222" si="14">ROUND(D207*E207,0)</f>
        <v>24750</v>
      </c>
    </row>
    <row r="208" spans="1:72" hidden="1" x14ac:dyDescent="0.25">
      <c r="A208" s="6">
        <v>1</v>
      </c>
      <c r="B208" s="4" t="s">
        <v>46</v>
      </c>
      <c r="C208" s="231">
        <v>340</v>
      </c>
      <c r="D208" s="3">
        <v>940</v>
      </c>
      <c r="E208" s="227">
        <v>11</v>
      </c>
      <c r="F208" s="3">
        <f t="shared" si="13"/>
        <v>30</v>
      </c>
      <c r="G208" s="3">
        <f t="shared" si="14"/>
        <v>10340</v>
      </c>
    </row>
    <row r="209" spans="1:7" hidden="1" x14ac:dyDescent="0.25">
      <c r="A209" s="6">
        <v>1</v>
      </c>
      <c r="B209" s="4" t="s">
        <v>102</v>
      </c>
      <c r="C209" s="231">
        <v>340</v>
      </c>
      <c r="D209" s="3">
        <v>45</v>
      </c>
      <c r="E209" s="227">
        <v>12</v>
      </c>
      <c r="F209" s="3">
        <f t="shared" si="13"/>
        <v>2</v>
      </c>
      <c r="G209" s="3">
        <f t="shared" si="14"/>
        <v>540</v>
      </c>
    </row>
    <row r="210" spans="1:7" hidden="1" x14ac:dyDescent="0.25">
      <c r="A210" s="6">
        <v>1</v>
      </c>
      <c r="B210" s="4" t="s">
        <v>37</v>
      </c>
      <c r="C210" s="231">
        <v>340</v>
      </c>
      <c r="D210" s="3">
        <v>780</v>
      </c>
      <c r="E210" s="227">
        <v>10</v>
      </c>
      <c r="F210" s="3">
        <f t="shared" si="13"/>
        <v>23</v>
      </c>
      <c r="G210" s="3">
        <f t="shared" si="14"/>
        <v>7800</v>
      </c>
    </row>
    <row r="211" spans="1:7" hidden="1" x14ac:dyDescent="0.25">
      <c r="A211" s="6">
        <v>1</v>
      </c>
      <c r="B211" s="4" t="s">
        <v>36</v>
      </c>
      <c r="C211" s="231">
        <v>340</v>
      </c>
      <c r="D211" s="3">
        <v>1450</v>
      </c>
      <c r="E211" s="227">
        <v>9.8000000000000007</v>
      </c>
      <c r="F211" s="3">
        <f t="shared" si="13"/>
        <v>42</v>
      </c>
      <c r="G211" s="3">
        <f t="shared" si="14"/>
        <v>14210</v>
      </c>
    </row>
    <row r="212" spans="1:7" hidden="1" x14ac:dyDescent="0.25">
      <c r="A212" s="6">
        <v>1</v>
      </c>
      <c r="B212" s="4" t="s">
        <v>59</v>
      </c>
      <c r="C212" s="231">
        <v>340</v>
      </c>
      <c r="D212" s="3">
        <v>260</v>
      </c>
      <c r="E212" s="227">
        <v>11.3</v>
      </c>
      <c r="F212" s="3">
        <f t="shared" si="13"/>
        <v>9</v>
      </c>
      <c r="G212" s="3">
        <f t="shared" si="14"/>
        <v>2938</v>
      </c>
    </row>
    <row r="213" spans="1:7" hidden="1" x14ac:dyDescent="0.25">
      <c r="A213" s="6">
        <v>1</v>
      </c>
      <c r="B213" s="4" t="s">
        <v>47</v>
      </c>
      <c r="C213" s="231">
        <v>340</v>
      </c>
      <c r="D213" s="3">
        <v>230</v>
      </c>
      <c r="E213" s="227">
        <v>11.2</v>
      </c>
      <c r="F213" s="3">
        <f t="shared" si="13"/>
        <v>8</v>
      </c>
      <c r="G213" s="3">
        <f t="shared" si="14"/>
        <v>2576</v>
      </c>
    </row>
    <row r="214" spans="1:7" hidden="1" x14ac:dyDescent="0.25">
      <c r="A214" s="6">
        <v>1</v>
      </c>
      <c r="B214" s="4" t="s">
        <v>57</v>
      </c>
      <c r="C214" s="231">
        <v>340</v>
      </c>
      <c r="D214" s="3">
        <v>1600</v>
      </c>
      <c r="E214" s="227">
        <v>8.9</v>
      </c>
      <c r="F214" s="3">
        <f t="shared" si="13"/>
        <v>42</v>
      </c>
      <c r="G214" s="3">
        <f t="shared" si="14"/>
        <v>14240</v>
      </c>
    </row>
    <row r="215" spans="1:7" hidden="1" x14ac:dyDescent="0.25">
      <c r="A215" s="6">
        <v>1</v>
      </c>
      <c r="B215" s="4" t="s">
        <v>103</v>
      </c>
      <c r="C215" s="231">
        <v>340</v>
      </c>
      <c r="D215" s="3">
        <v>660</v>
      </c>
      <c r="E215" s="227">
        <v>7.5</v>
      </c>
      <c r="F215" s="3">
        <f t="shared" si="13"/>
        <v>15</v>
      </c>
      <c r="G215" s="3">
        <f t="shared" si="14"/>
        <v>4950</v>
      </c>
    </row>
    <row r="216" spans="1:7" ht="15" hidden="1" customHeight="1" x14ac:dyDescent="0.25">
      <c r="A216" s="6">
        <v>1</v>
      </c>
      <c r="B216" s="4" t="s">
        <v>58</v>
      </c>
      <c r="C216" s="231">
        <v>340</v>
      </c>
      <c r="D216" s="3">
        <v>1060</v>
      </c>
      <c r="E216" s="227">
        <v>11.2</v>
      </c>
      <c r="F216" s="3">
        <f t="shared" si="13"/>
        <v>35</v>
      </c>
      <c r="G216" s="3">
        <f t="shared" si="14"/>
        <v>11872</v>
      </c>
    </row>
    <row r="217" spans="1:7" hidden="1" x14ac:dyDescent="0.25">
      <c r="A217" s="6">
        <v>1</v>
      </c>
      <c r="B217" s="4" t="s">
        <v>40</v>
      </c>
      <c r="C217" s="231">
        <v>340</v>
      </c>
      <c r="D217" s="3">
        <v>290</v>
      </c>
      <c r="E217" s="227">
        <v>12.5</v>
      </c>
      <c r="F217" s="3">
        <f t="shared" si="13"/>
        <v>11</v>
      </c>
      <c r="G217" s="3">
        <f t="shared" si="14"/>
        <v>3625</v>
      </c>
    </row>
    <row r="218" spans="1:7" hidden="1" x14ac:dyDescent="0.25">
      <c r="A218" s="6">
        <v>1</v>
      </c>
      <c r="B218" s="4" t="s">
        <v>48</v>
      </c>
      <c r="C218" s="231">
        <v>340</v>
      </c>
      <c r="D218" s="3">
        <v>940</v>
      </c>
      <c r="E218" s="227">
        <v>10</v>
      </c>
      <c r="F218" s="3">
        <f t="shared" si="13"/>
        <v>28</v>
      </c>
      <c r="G218" s="3">
        <f t="shared" si="14"/>
        <v>9400</v>
      </c>
    </row>
    <row r="219" spans="1:7" ht="18" hidden="1" customHeight="1" x14ac:dyDescent="0.25">
      <c r="A219" s="6">
        <v>1</v>
      </c>
      <c r="B219" s="36" t="s">
        <v>108</v>
      </c>
      <c r="C219" s="231">
        <v>320</v>
      </c>
      <c r="D219" s="3">
        <v>320</v>
      </c>
      <c r="E219" s="561">
        <v>10</v>
      </c>
      <c r="F219" s="3">
        <f t="shared" si="13"/>
        <v>10</v>
      </c>
      <c r="G219" s="3">
        <f t="shared" si="14"/>
        <v>3200</v>
      </c>
    </row>
    <row r="220" spans="1:7" hidden="1" x14ac:dyDescent="0.25">
      <c r="A220" s="6">
        <v>1</v>
      </c>
      <c r="B220" s="4" t="s">
        <v>49</v>
      </c>
      <c r="C220" s="231">
        <v>300</v>
      </c>
      <c r="D220" s="3">
        <v>1750</v>
      </c>
      <c r="E220" s="227">
        <v>6.3</v>
      </c>
      <c r="F220" s="3">
        <f t="shared" si="13"/>
        <v>37</v>
      </c>
      <c r="G220" s="3">
        <f t="shared" si="14"/>
        <v>11025</v>
      </c>
    </row>
    <row r="221" spans="1:7" hidden="1" x14ac:dyDescent="0.25">
      <c r="A221" s="6">
        <v>1</v>
      </c>
      <c r="B221" s="4" t="s">
        <v>24</v>
      </c>
      <c r="C221" s="5">
        <v>340</v>
      </c>
      <c r="D221" s="3">
        <v>1400</v>
      </c>
      <c r="E221" s="562">
        <v>7.6</v>
      </c>
      <c r="F221" s="3">
        <f t="shared" si="13"/>
        <v>31</v>
      </c>
      <c r="G221" s="3">
        <f t="shared" si="14"/>
        <v>10640</v>
      </c>
    </row>
    <row r="222" spans="1:7" hidden="1" x14ac:dyDescent="0.25">
      <c r="A222" s="6">
        <v>1</v>
      </c>
      <c r="B222" s="59" t="s">
        <v>183</v>
      </c>
      <c r="C222" s="2">
        <v>300</v>
      </c>
      <c r="D222" s="3">
        <v>125</v>
      </c>
      <c r="E222" s="60">
        <v>10</v>
      </c>
      <c r="F222" s="3">
        <f t="shared" si="13"/>
        <v>4</v>
      </c>
      <c r="G222" s="3">
        <f t="shared" si="14"/>
        <v>1250</v>
      </c>
    </row>
    <row r="223" spans="1:7" hidden="1" x14ac:dyDescent="0.25">
      <c r="A223" s="6">
        <v>1</v>
      </c>
      <c r="B223" s="59"/>
      <c r="C223" s="2"/>
      <c r="D223" s="3"/>
      <c r="E223" s="77"/>
      <c r="F223" s="3"/>
      <c r="G223" s="3"/>
    </row>
    <row r="224" spans="1:7" s="20" customFormat="1" hidden="1" x14ac:dyDescent="0.25">
      <c r="A224" s="6">
        <v>1</v>
      </c>
      <c r="B224" s="322" t="s">
        <v>5</v>
      </c>
      <c r="C224" s="409"/>
      <c r="D224" s="18">
        <f>SUM(D207:D222)</f>
        <v>14600</v>
      </c>
      <c r="E224" s="17">
        <f>G224/D224</f>
        <v>9.1339726027397266</v>
      </c>
      <c r="F224" s="18">
        <f t="shared" ref="F224:G224" si="15">SUM(F207:F222)</f>
        <v>400</v>
      </c>
      <c r="G224" s="18">
        <f t="shared" si="15"/>
        <v>133356</v>
      </c>
    </row>
    <row r="225" spans="1:8" s="20" customFormat="1" ht="16.5" hidden="1" customHeight="1" x14ac:dyDescent="0.25">
      <c r="A225" s="6">
        <v>1</v>
      </c>
      <c r="B225" s="15"/>
      <c r="C225" s="5"/>
      <c r="D225" s="19"/>
      <c r="E225" s="430"/>
      <c r="F225" s="19"/>
      <c r="G225" s="19"/>
    </row>
    <row r="226" spans="1:8" s="46" customFormat="1" ht="18.75" hidden="1" customHeight="1" x14ac:dyDescent="0.25">
      <c r="A226" s="6">
        <v>1</v>
      </c>
      <c r="B226" s="21" t="s">
        <v>205</v>
      </c>
      <c r="C226" s="21"/>
      <c r="D226" s="74"/>
      <c r="E226" s="45"/>
      <c r="F226" s="45"/>
      <c r="G226" s="45"/>
    </row>
    <row r="227" spans="1:8" s="46" customFormat="1" ht="30" hidden="1" x14ac:dyDescent="0.25">
      <c r="A227" s="6">
        <v>1</v>
      </c>
      <c r="B227" s="23" t="s">
        <v>323</v>
      </c>
      <c r="C227" s="47"/>
      <c r="D227" s="45">
        <f>SUM(D228,D229,D230,D231)</f>
        <v>46700</v>
      </c>
      <c r="E227" s="45"/>
      <c r="F227" s="45"/>
      <c r="G227" s="45"/>
    </row>
    <row r="228" spans="1:8" s="46" customFormat="1" hidden="1" x14ac:dyDescent="0.25">
      <c r="A228" s="6">
        <v>1</v>
      </c>
      <c r="B228" s="48" t="s">
        <v>206</v>
      </c>
      <c r="C228" s="47"/>
      <c r="D228" s="45"/>
      <c r="E228" s="45"/>
      <c r="F228" s="45"/>
      <c r="G228" s="45"/>
    </row>
    <row r="229" spans="1:8" s="46" customFormat="1" ht="17.25" hidden="1" customHeight="1" x14ac:dyDescent="0.25">
      <c r="A229" s="6">
        <v>1</v>
      </c>
      <c r="B229" s="48" t="s">
        <v>207</v>
      </c>
      <c r="C229" s="47"/>
      <c r="D229" s="3">
        <v>16000</v>
      </c>
      <c r="E229" s="45"/>
      <c r="F229" s="45"/>
      <c r="G229" s="45"/>
    </row>
    <row r="230" spans="1:8" s="46" customFormat="1" ht="30" hidden="1" x14ac:dyDescent="0.25">
      <c r="A230" s="6">
        <v>1</v>
      </c>
      <c r="B230" s="48" t="s">
        <v>208</v>
      </c>
      <c r="C230" s="47"/>
      <c r="D230" s="3"/>
      <c r="E230" s="45"/>
      <c r="F230" s="45"/>
      <c r="G230" s="45"/>
    </row>
    <row r="231" spans="1:8" s="46" customFormat="1" hidden="1" x14ac:dyDescent="0.25">
      <c r="A231" s="6">
        <v>1</v>
      </c>
      <c r="B231" s="23" t="s">
        <v>209</v>
      </c>
      <c r="C231" s="47"/>
      <c r="D231" s="3">
        <v>30700</v>
      </c>
      <c r="E231" s="45"/>
      <c r="F231" s="45"/>
      <c r="G231" s="45"/>
    </row>
    <row r="232" spans="1:8" s="46" customFormat="1" ht="45" hidden="1" x14ac:dyDescent="0.25">
      <c r="A232" s="6">
        <v>1</v>
      </c>
      <c r="B232" s="23" t="s">
        <v>285</v>
      </c>
      <c r="C232" s="47"/>
      <c r="D232" s="13">
        <v>3306</v>
      </c>
      <c r="E232" s="45"/>
      <c r="F232" s="45"/>
      <c r="G232" s="45"/>
      <c r="H232" s="75"/>
    </row>
    <row r="233" spans="1:8" s="20" customFormat="1" hidden="1" x14ac:dyDescent="0.25">
      <c r="A233" s="6">
        <v>1</v>
      </c>
      <c r="B233" s="24" t="s">
        <v>118</v>
      </c>
      <c r="C233" s="22"/>
      <c r="D233" s="3">
        <v>100000</v>
      </c>
      <c r="E233" s="3"/>
      <c r="F233" s="3"/>
      <c r="G233" s="3"/>
    </row>
    <row r="234" spans="1:8" s="46" customFormat="1" hidden="1" x14ac:dyDescent="0.25">
      <c r="A234" s="6">
        <v>1</v>
      </c>
      <c r="B234" s="44" t="s">
        <v>150</v>
      </c>
      <c r="C234" s="262"/>
      <c r="D234" s="3"/>
      <c r="E234" s="45"/>
      <c r="F234" s="45"/>
      <c r="G234" s="45"/>
    </row>
    <row r="235" spans="1:8" s="46" customFormat="1" ht="15.75" hidden="1" customHeight="1" x14ac:dyDescent="0.25">
      <c r="A235" s="6">
        <v>1</v>
      </c>
      <c r="B235" s="49" t="s">
        <v>210</v>
      </c>
      <c r="C235" s="50"/>
      <c r="D235" s="47">
        <f>D227+ROUND(D233*3.2,0)</f>
        <v>366700</v>
      </c>
      <c r="E235" s="51"/>
      <c r="F235" s="51"/>
      <c r="G235" s="51"/>
    </row>
    <row r="236" spans="1:8" s="46" customFormat="1" ht="15.75" hidden="1" customHeight="1" x14ac:dyDescent="0.25">
      <c r="A236" s="6">
        <v>1</v>
      </c>
      <c r="B236" s="21" t="s">
        <v>153</v>
      </c>
      <c r="C236" s="22"/>
      <c r="D236" s="3"/>
      <c r="E236" s="51"/>
      <c r="F236" s="51"/>
      <c r="G236" s="51"/>
    </row>
    <row r="237" spans="1:8" s="46" customFormat="1" ht="30.75" hidden="1" customHeight="1" x14ac:dyDescent="0.25">
      <c r="A237" s="6">
        <v>1</v>
      </c>
      <c r="B237" s="23" t="s">
        <v>323</v>
      </c>
      <c r="C237" s="22"/>
      <c r="D237" s="3">
        <f>SUM(D238,D239,D246,D252,D253,D254)</f>
        <v>60003</v>
      </c>
      <c r="E237" s="51"/>
      <c r="F237" s="51"/>
      <c r="G237" s="51"/>
    </row>
    <row r="238" spans="1:8" s="46" customFormat="1" ht="15.75" hidden="1" customHeight="1" x14ac:dyDescent="0.25">
      <c r="A238" s="6">
        <v>1</v>
      </c>
      <c r="B238" s="23" t="s">
        <v>206</v>
      </c>
      <c r="C238" s="22"/>
      <c r="D238" s="3"/>
      <c r="E238" s="51"/>
      <c r="F238" s="51"/>
      <c r="G238" s="51"/>
    </row>
    <row r="239" spans="1:8" s="46" customFormat="1" ht="15.75" hidden="1" customHeight="1" x14ac:dyDescent="0.25">
      <c r="A239" s="6">
        <v>1</v>
      </c>
      <c r="B239" s="48" t="s">
        <v>211</v>
      </c>
      <c r="C239" s="22"/>
      <c r="D239" s="3">
        <f>D240+D241+D242+D244</f>
        <v>23503</v>
      </c>
      <c r="E239" s="51"/>
      <c r="F239" s="51"/>
      <c r="G239" s="51"/>
    </row>
    <row r="240" spans="1:8" s="46" customFormat="1" ht="19.5" hidden="1" customHeight="1" x14ac:dyDescent="0.25">
      <c r="A240" s="6">
        <v>1</v>
      </c>
      <c r="B240" s="52" t="s">
        <v>212</v>
      </c>
      <c r="C240" s="22"/>
      <c r="D240" s="45">
        <f>19231-731</f>
        <v>18500</v>
      </c>
      <c r="E240" s="51"/>
      <c r="F240" s="51"/>
      <c r="G240" s="51"/>
    </row>
    <row r="241" spans="1:7" s="46" customFormat="1" ht="15.75" hidden="1" customHeight="1" x14ac:dyDescent="0.25">
      <c r="A241" s="6">
        <v>1</v>
      </c>
      <c r="B241" s="52" t="s">
        <v>213</v>
      </c>
      <c r="C241" s="22"/>
      <c r="D241" s="45">
        <v>5003</v>
      </c>
      <c r="E241" s="51"/>
      <c r="F241" s="51"/>
      <c r="G241" s="51"/>
    </row>
    <row r="242" spans="1:7" s="46" customFormat="1" ht="30.75" hidden="1" customHeight="1" x14ac:dyDescent="0.25">
      <c r="A242" s="6">
        <v>1</v>
      </c>
      <c r="B242" s="52" t="s">
        <v>214</v>
      </c>
      <c r="C242" s="22"/>
      <c r="D242" s="45"/>
      <c r="E242" s="51"/>
      <c r="F242" s="51"/>
      <c r="G242" s="51"/>
    </row>
    <row r="243" spans="1:7" s="46" customFormat="1" hidden="1" x14ac:dyDescent="0.25">
      <c r="A243" s="6">
        <v>1</v>
      </c>
      <c r="B243" s="52" t="s">
        <v>215</v>
      </c>
      <c r="C243" s="22"/>
      <c r="D243" s="45"/>
      <c r="E243" s="51"/>
      <c r="F243" s="51"/>
      <c r="G243" s="51"/>
    </row>
    <row r="244" spans="1:7" s="46" customFormat="1" ht="30" hidden="1" x14ac:dyDescent="0.25">
      <c r="A244" s="6">
        <v>1</v>
      </c>
      <c r="B244" s="52" t="s">
        <v>216</v>
      </c>
      <c r="C244" s="22"/>
      <c r="D244" s="45"/>
      <c r="E244" s="51"/>
      <c r="F244" s="51"/>
      <c r="G244" s="51"/>
    </row>
    <row r="245" spans="1:7" s="46" customFormat="1" hidden="1" x14ac:dyDescent="0.25">
      <c r="A245" s="6">
        <v>1</v>
      </c>
      <c r="B245" s="52" t="s">
        <v>215</v>
      </c>
      <c r="C245" s="22"/>
      <c r="D245" s="76"/>
      <c r="E245" s="51"/>
      <c r="F245" s="51"/>
      <c r="G245" s="51"/>
    </row>
    <row r="246" spans="1:7" s="46" customFormat="1" ht="30" hidden="1" customHeight="1" x14ac:dyDescent="0.25">
      <c r="A246" s="6">
        <v>1</v>
      </c>
      <c r="B246" s="48" t="s">
        <v>217</v>
      </c>
      <c r="C246" s="22"/>
      <c r="D246" s="3">
        <f>SUM(D247,D248,D250)</f>
        <v>16000</v>
      </c>
      <c r="E246" s="51"/>
      <c r="F246" s="51"/>
      <c r="G246" s="51"/>
    </row>
    <row r="247" spans="1:7" s="46" customFormat="1" ht="30" hidden="1" x14ac:dyDescent="0.25">
      <c r="A247" s="6">
        <v>1</v>
      </c>
      <c r="B247" s="52" t="s">
        <v>218</v>
      </c>
      <c r="C247" s="22"/>
      <c r="D247" s="3">
        <f>14000+2000</f>
        <v>16000</v>
      </c>
      <c r="E247" s="51"/>
      <c r="F247" s="51"/>
      <c r="G247" s="51"/>
    </row>
    <row r="248" spans="1:7" s="46" customFormat="1" ht="45" hidden="1" x14ac:dyDescent="0.25">
      <c r="A248" s="6">
        <v>1</v>
      </c>
      <c r="B248" s="52" t="s">
        <v>219</v>
      </c>
      <c r="C248" s="22"/>
      <c r="D248" s="42"/>
      <c r="E248" s="51"/>
      <c r="F248" s="51"/>
      <c r="G248" s="51"/>
    </row>
    <row r="249" spans="1:7" s="46" customFormat="1" hidden="1" x14ac:dyDescent="0.25">
      <c r="A249" s="6">
        <v>1</v>
      </c>
      <c r="B249" s="52" t="s">
        <v>215</v>
      </c>
      <c r="C249" s="22"/>
      <c r="D249" s="42"/>
      <c r="E249" s="51"/>
      <c r="F249" s="51"/>
      <c r="G249" s="51"/>
    </row>
    <row r="250" spans="1:7" s="46" customFormat="1" ht="45" hidden="1" x14ac:dyDescent="0.25">
      <c r="A250" s="6">
        <v>1</v>
      </c>
      <c r="B250" s="52" t="s">
        <v>220</v>
      </c>
      <c r="C250" s="22"/>
      <c r="D250" s="42"/>
      <c r="E250" s="51"/>
      <c r="F250" s="51"/>
      <c r="G250" s="51"/>
    </row>
    <row r="251" spans="1:7" s="46" customFormat="1" hidden="1" x14ac:dyDescent="0.25">
      <c r="A251" s="6">
        <v>1</v>
      </c>
      <c r="B251" s="52" t="s">
        <v>215</v>
      </c>
      <c r="C251" s="22"/>
      <c r="D251" s="42"/>
      <c r="E251" s="51"/>
      <c r="F251" s="51"/>
      <c r="G251" s="51"/>
    </row>
    <row r="252" spans="1:7" s="46" customFormat="1" ht="31.5" hidden="1" customHeight="1" x14ac:dyDescent="0.25">
      <c r="A252" s="6">
        <v>1</v>
      </c>
      <c r="B252" s="48" t="s">
        <v>221</v>
      </c>
      <c r="C252" s="22"/>
      <c r="D252" s="3">
        <v>500</v>
      </c>
      <c r="E252" s="51"/>
      <c r="F252" s="51"/>
      <c r="G252" s="51"/>
    </row>
    <row r="253" spans="1:7" s="46" customFormat="1" ht="15.75" hidden="1" customHeight="1" x14ac:dyDescent="0.25">
      <c r="A253" s="6">
        <v>1</v>
      </c>
      <c r="B253" s="48" t="s">
        <v>222</v>
      </c>
      <c r="C253" s="22"/>
      <c r="D253" s="3"/>
      <c r="E253" s="51"/>
      <c r="F253" s="51"/>
      <c r="G253" s="51"/>
    </row>
    <row r="254" spans="1:7" s="46" customFormat="1" ht="15.75" hidden="1" customHeight="1" x14ac:dyDescent="0.25">
      <c r="A254" s="6">
        <v>1</v>
      </c>
      <c r="B254" s="23" t="s">
        <v>223</v>
      </c>
      <c r="C254" s="22"/>
      <c r="D254" s="3">
        <v>20000</v>
      </c>
      <c r="E254" s="51"/>
      <c r="F254" s="51"/>
      <c r="G254" s="51"/>
    </row>
    <row r="255" spans="1:7" s="46" customFormat="1" hidden="1" x14ac:dyDescent="0.25">
      <c r="A255" s="6">
        <v>1</v>
      </c>
      <c r="B255" s="24" t="s">
        <v>118</v>
      </c>
      <c r="C255" s="47"/>
      <c r="D255" s="45"/>
      <c r="E255" s="51"/>
      <c r="F255" s="51"/>
      <c r="G255" s="51"/>
    </row>
    <row r="256" spans="1:7" s="46" customFormat="1" hidden="1" x14ac:dyDescent="0.25">
      <c r="A256" s="6">
        <v>1</v>
      </c>
      <c r="B256" s="44" t="s">
        <v>150</v>
      </c>
      <c r="C256" s="47"/>
      <c r="D256" s="76"/>
      <c r="E256" s="51"/>
      <c r="F256" s="51"/>
      <c r="G256" s="51"/>
    </row>
    <row r="257" spans="1:7" s="20" customFormat="1" ht="30" hidden="1" x14ac:dyDescent="0.25">
      <c r="A257" s="6">
        <v>1</v>
      </c>
      <c r="B257" s="24" t="s">
        <v>119</v>
      </c>
      <c r="C257" s="207"/>
      <c r="D257" s="3">
        <v>28800</v>
      </c>
      <c r="E257" s="3"/>
      <c r="F257" s="3"/>
      <c r="G257" s="3"/>
    </row>
    <row r="258" spans="1:7" s="46" customFormat="1" ht="15.75" hidden="1" customHeight="1" x14ac:dyDescent="0.25">
      <c r="A258" s="6">
        <v>1</v>
      </c>
      <c r="B258" s="24" t="s">
        <v>224</v>
      </c>
      <c r="C258" s="22"/>
      <c r="D258" s="3">
        <v>15000</v>
      </c>
      <c r="E258" s="51"/>
      <c r="F258" s="51"/>
      <c r="G258" s="51"/>
    </row>
    <row r="259" spans="1:7" s="46" customFormat="1" ht="45" hidden="1" x14ac:dyDescent="0.25">
      <c r="A259" s="6">
        <v>1</v>
      </c>
      <c r="B259" s="24" t="s">
        <v>296</v>
      </c>
      <c r="C259" s="22"/>
      <c r="D259" s="3">
        <v>7800</v>
      </c>
      <c r="E259" s="51"/>
      <c r="F259" s="51"/>
      <c r="G259" s="51"/>
    </row>
    <row r="260" spans="1:7" s="46" customFormat="1" hidden="1" x14ac:dyDescent="0.25">
      <c r="A260" s="6">
        <v>1</v>
      </c>
      <c r="B260" s="54" t="s">
        <v>152</v>
      </c>
      <c r="C260" s="22"/>
      <c r="D260" s="18">
        <f>D237+ROUND(D255*3.2,0)+D257+D259</f>
        <v>96603</v>
      </c>
      <c r="E260" s="51"/>
      <c r="F260" s="51"/>
      <c r="G260" s="51"/>
    </row>
    <row r="261" spans="1:7" s="46" customFormat="1" hidden="1" x14ac:dyDescent="0.25">
      <c r="A261" s="6">
        <v>1</v>
      </c>
      <c r="B261" s="55" t="s">
        <v>151</v>
      </c>
      <c r="C261" s="22"/>
      <c r="D261" s="18">
        <f>SUM(D235,D260)</f>
        <v>463303</v>
      </c>
      <c r="E261" s="51"/>
      <c r="F261" s="51"/>
      <c r="G261" s="51"/>
    </row>
    <row r="262" spans="1:7" s="46" customFormat="1" ht="15.75" hidden="1" x14ac:dyDescent="0.25">
      <c r="A262" s="6">
        <v>1</v>
      </c>
      <c r="B262" s="563" t="s">
        <v>120</v>
      </c>
      <c r="C262" s="22"/>
      <c r="D262" s="202">
        <f>SUM(D263:D266)</f>
        <v>5150</v>
      </c>
      <c r="E262" s="280"/>
      <c r="F262" s="280"/>
      <c r="G262" s="280"/>
    </row>
    <row r="263" spans="1:7" s="46" customFormat="1" hidden="1" x14ac:dyDescent="0.25">
      <c r="A263" s="6">
        <v>1</v>
      </c>
      <c r="B263" s="564" t="s">
        <v>19</v>
      </c>
      <c r="C263" s="22"/>
      <c r="D263" s="3">
        <v>1401</v>
      </c>
      <c r="E263" s="280"/>
      <c r="F263" s="280"/>
      <c r="G263" s="280"/>
    </row>
    <row r="264" spans="1:7" s="46" customFormat="1" ht="30" hidden="1" x14ac:dyDescent="0.25">
      <c r="A264" s="6">
        <v>1</v>
      </c>
      <c r="B264" s="476" t="s">
        <v>162</v>
      </c>
      <c r="C264" s="22"/>
      <c r="D264" s="3">
        <v>284</v>
      </c>
      <c r="E264" s="280"/>
      <c r="F264" s="280"/>
      <c r="G264" s="280"/>
    </row>
    <row r="265" spans="1:7" s="46" customFormat="1" hidden="1" x14ac:dyDescent="0.25">
      <c r="A265" s="6">
        <v>1</v>
      </c>
      <c r="B265" s="564" t="s">
        <v>32</v>
      </c>
      <c r="C265" s="22"/>
      <c r="D265" s="3">
        <v>2994</v>
      </c>
      <c r="E265" s="280"/>
      <c r="F265" s="280"/>
      <c r="G265" s="280"/>
    </row>
    <row r="266" spans="1:7" s="46" customFormat="1" hidden="1" x14ac:dyDescent="0.25">
      <c r="A266" s="6">
        <v>1</v>
      </c>
      <c r="B266" s="564" t="s">
        <v>121</v>
      </c>
      <c r="C266" s="22"/>
      <c r="D266" s="3">
        <v>471</v>
      </c>
      <c r="E266" s="280"/>
      <c r="F266" s="280"/>
      <c r="G266" s="280"/>
    </row>
    <row r="267" spans="1:7" s="20" customFormat="1" ht="15.75" hidden="1" x14ac:dyDescent="0.25">
      <c r="A267" s="6">
        <v>1</v>
      </c>
      <c r="B267" s="27" t="s">
        <v>7</v>
      </c>
      <c r="C267" s="409"/>
      <c r="D267" s="3"/>
      <c r="E267" s="3"/>
      <c r="F267" s="3"/>
      <c r="G267" s="3"/>
    </row>
    <row r="268" spans="1:7" s="20" customFormat="1" hidden="1" x14ac:dyDescent="0.25">
      <c r="A268" s="6">
        <v>1</v>
      </c>
      <c r="B268" s="43" t="s">
        <v>139</v>
      </c>
      <c r="C268" s="409"/>
      <c r="D268" s="3"/>
      <c r="E268" s="3"/>
      <c r="F268" s="3"/>
      <c r="G268" s="3"/>
    </row>
    <row r="269" spans="1:7" s="20" customFormat="1" hidden="1" x14ac:dyDescent="0.25">
      <c r="A269" s="6">
        <v>1</v>
      </c>
      <c r="B269" s="29" t="s">
        <v>103</v>
      </c>
      <c r="C269" s="554">
        <v>300</v>
      </c>
      <c r="D269" s="3">
        <v>140</v>
      </c>
      <c r="E269" s="562">
        <v>7.4</v>
      </c>
      <c r="F269" s="3">
        <f>ROUND(G269/C269,0)</f>
        <v>3</v>
      </c>
      <c r="G269" s="3">
        <f>ROUND(D269*E269,0)</f>
        <v>1036</v>
      </c>
    </row>
    <row r="270" spans="1:7" s="20" customFormat="1" hidden="1" x14ac:dyDescent="0.25">
      <c r="A270" s="6">
        <v>1</v>
      </c>
      <c r="B270" s="29" t="s">
        <v>11</v>
      </c>
      <c r="C270" s="554">
        <v>300</v>
      </c>
      <c r="D270" s="3">
        <v>80</v>
      </c>
      <c r="E270" s="565">
        <v>6.7</v>
      </c>
      <c r="F270" s="3">
        <f>ROUND(G270/C270,0)</f>
        <v>2</v>
      </c>
      <c r="G270" s="3">
        <f>ROUND(D270*E270,0)</f>
        <v>536</v>
      </c>
    </row>
    <row r="271" spans="1:7" s="20" customFormat="1" hidden="1" x14ac:dyDescent="0.25">
      <c r="A271" s="6">
        <v>1</v>
      </c>
      <c r="B271" s="29" t="s">
        <v>21</v>
      </c>
      <c r="C271" s="554">
        <v>300</v>
      </c>
      <c r="D271" s="3">
        <v>50</v>
      </c>
      <c r="E271" s="565">
        <v>9.5</v>
      </c>
      <c r="F271" s="3">
        <f>ROUND(G271/C271,0)</f>
        <v>2</v>
      </c>
      <c r="G271" s="3">
        <f>ROUND(D271*E271,0)</f>
        <v>475</v>
      </c>
    </row>
    <row r="272" spans="1:7" s="20" customFormat="1" hidden="1" x14ac:dyDescent="0.25">
      <c r="A272" s="6">
        <v>1</v>
      </c>
      <c r="B272" s="29" t="s">
        <v>58</v>
      </c>
      <c r="C272" s="554">
        <v>300</v>
      </c>
      <c r="D272" s="3">
        <v>90</v>
      </c>
      <c r="E272" s="565">
        <v>11</v>
      </c>
      <c r="F272" s="3">
        <f>ROUND(G272/C272,0)</f>
        <v>3</v>
      </c>
      <c r="G272" s="3">
        <f>ROUND(D272*E272,0)</f>
        <v>990</v>
      </c>
    </row>
    <row r="273" spans="1:72" s="20" customFormat="1" ht="16.5" hidden="1" customHeight="1" x14ac:dyDescent="0.25">
      <c r="A273" s="6">
        <v>1</v>
      </c>
      <c r="B273" s="219" t="s">
        <v>9</v>
      </c>
      <c r="C273" s="557"/>
      <c r="D273" s="35">
        <f>SUM(D269:D272)</f>
        <v>360</v>
      </c>
      <c r="E273" s="17">
        <f>G273/D273</f>
        <v>8.4361111111111118</v>
      </c>
      <c r="F273" s="35">
        <f t="shared" ref="F273:G273" si="16">SUM(F269:F272)</f>
        <v>10</v>
      </c>
      <c r="G273" s="35">
        <f t="shared" si="16"/>
        <v>3037</v>
      </c>
    </row>
    <row r="274" spans="1:72" s="20" customFormat="1" hidden="1" x14ac:dyDescent="0.25">
      <c r="A274" s="6">
        <v>1</v>
      </c>
      <c r="B274" s="43" t="s">
        <v>76</v>
      </c>
      <c r="C274" s="557"/>
      <c r="D274" s="35"/>
      <c r="E274" s="39"/>
      <c r="F274" s="35"/>
      <c r="G274" s="35"/>
    </row>
    <row r="275" spans="1:72" s="20" customFormat="1" hidden="1" x14ac:dyDescent="0.25">
      <c r="A275" s="6">
        <v>1</v>
      </c>
      <c r="B275" s="566" t="s">
        <v>282</v>
      </c>
      <c r="C275" s="231">
        <v>240</v>
      </c>
      <c r="D275" s="3">
        <v>35</v>
      </c>
      <c r="E275" s="227">
        <v>8</v>
      </c>
      <c r="F275" s="3">
        <f t="shared" ref="F275:F281" si="17">ROUND(G275/C275,0)</f>
        <v>1</v>
      </c>
      <c r="G275" s="3">
        <f t="shared" ref="G275:G281" si="18">ROUND(D275*E275,0)</f>
        <v>280</v>
      </c>
    </row>
    <row r="276" spans="1:72" s="20" customFormat="1" hidden="1" x14ac:dyDescent="0.25">
      <c r="A276" s="6">
        <v>1</v>
      </c>
      <c r="B276" s="566" t="s">
        <v>306</v>
      </c>
      <c r="C276" s="231">
        <v>240</v>
      </c>
      <c r="D276" s="3">
        <v>470</v>
      </c>
      <c r="E276" s="227">
        <v>8</v>
      </c>
      <c r="F276" s="3">
        <f t="shared" si="17"/>
        <v>16</v>
      </c>
      <c r="G276" s="3">
        <f t="shared" si="18"/>
        <v>3760</v>
      </c>
    </row>
    <row r="277" spans="1:72" s="20" customFormat="1" hidden="1" x14ac:dyDescent="0.25">
      <c r="A277" s="6">
        <v>1</v>
      </c>
      <c r="B277" s="566" t="s">
        <v>307</v>
      </c>
      <c r="C277" s="231">
        <v>240</v>
      </c>
      <c r="D277" s="3">
        <v>30</v>
      </c>
      <c r="E277" s="227">
        <v>8</v>
      </c>
      <c r="F277" s="3">
        <f t="shared" si="17"/>
        <v>1</v>
      </c>
      <c r="G277" s="3">
        <f t="shared" si="18"/>
        <v>240</v>
      </c>
    </row>
    <row r="278" spans="1:72" s="20" customFormat="1" hidden="1" x14ac:dyDescent="0.25">
      <c r="A278" s="6">
        <v>1</v>
      </c>
      <c r="B278" s="566" t="s">
        <v>308</v>
      </c>
      <c r="C278" s="231">
        <v>240</v>
      </c>
      <c r="D278" s="3">
        <v>890</v>
      </c>
      <c r="E278" s="227">
        <v>8</v>
      </c>
      <c r="F278" s="3">
        <f t="shared" si="17"/>
        <v>30</v>
      </c>
      <c r="G278" s="3">
        <f t="shared" si="18"/>
        <v>7120</v>
      </c>
    </row>
    <row r="279" spans="1:72" s="20" customFormat="1" hidden="1" x14ac:dyDescent="0.25">
      <c r="A279" s="6">
        <v>1</v>
      </c>
      <c r="B279" s="566" t="s">
        <v>309</v>
      </c>
      <c r="C279" s="231">
        <v>240</v>
      </c>
      <c r="D279" s="3">
        <v>62</v>
      </c>
      <c r="E279" s="227">
        <v>8</v>
      </c>
      <c r="F279" s="3">
        <f t="shared" si="17"/>
        <v>2</v>
      </c>
      <c r="G279" s="3">
        <f t="shared" si="18"/>
        <v>496</v>
      </c>
    </row>
    <row r="280" spans="1:72" s="20" customFormat="1" hidden="1" x14ac:dyDescent="0.25">
      <c r="A280" s="6">
        <v>1</v>
      </c>
      <c r="B280" s="566" t="s">
        <v>310</v>
      </c>
      <c r="C280" s="231">
        <v>240</v>
      </c>
      <c r="D280" s="3">
        <v>53</v>
      </c>
      <c r="E280" s="227">
        <v>8</v>
      </c>
      <c r="F280" s="3">
        <f t="shared" si="17"/>
        <v>2</v>
      </c>
      <c r="G280" s="3">
        <f t="shared" si="18"/>
        <v>424</v>
      </c>
    </row>
    <row r="281" spans="1:72" s="20" customFormat="1" hidden="1" x14ac:dyDescent="0.25">
      <c r="A281" s="6">
        <v>1</v>
      </c>
      <c r="B281" s="566" t="s">
        <v>311</v>
      </c>
      <c r="C281" s="231">
        <v>240</v>
      </c>
      <c r="D281" s="3">
        <v>240</v>
      </c>
      <c r="E281" s="227">
        <v>8</v>
      </c>
      <c r="F281" s="3">
        <f t="shared" si="17"/>
        <v>8</v>
      </c>
      <c r="G281" s="3">
        <f t="shared" si="18"/>
        <v>1920</v>
      </c>
    </row>
    <row r="282" spans="1:72" s="20" customFormat="1" ht="15.75" hidden="1" customHeight="1" x14ac:dyDescent="0.25">
      <c r="A282" s="6">
        <v>1</v>
      </c>
      <c r="B282" s="219" t="s">
        <v>141</v>
      </c>
      <c r="C282" s="231"/>
      <c r="D282" s="35">
        <f>SUM(D275:D281)</f>
        <v>1780</v>
      </c>
      <c r="E282" s="537">
        <f>E275</f>
        <v>8</v>
      </c>
      <c r="F282" s="35">
        <f>SUM(F275:F281)</f>
        <v>60</v>
      </c>
      <c r="G282" s="35">
        <f>SUM(G275:G281)</f>
        <v>14240</v>
      </c>
    </row>
    <row r="283" spans="1:72" s="20" customFormat="1" ht="17.25" hidden="1" customHeight="1" x14ac:dyDescent="0.25">
      <c r="A283" s="6">
        <v>1</v>
      </c>
      <c r="B283" s="31" t="s">
        <v>116</v>
      </c>
      <c r="C283" s="409"/>
      <c r="D283" s="18">
        <f>D273+D282</f>
        <v>2140</v>
      </c>
      <c r="E283" s="17">
        <f>G283/D283</f>
        <v>8.0733644859813083</v>
      </c>
      <c r="F283" s="18">
        <f>F273+F282</f>
        <v>70</v>
      </c>
      <c r="G283" s="18">
        <f>G273+G282</f>
        <v>17277</v>
      </c>
    </row>
    <row r="284" spans="1:72" s="567" customFormat="1" hidden="1" x14ac:dyDescent="0.25">
      <c r="A284" s="6">
        <v>1</v>
      </c>
      <c r="B284" s="550" t="s">
        <v>10</v>
      </c>
      <c r="C284" s="551"/>
      <c r="D284" s="551"/>
      <c r="E284" s="551"/>
      <c r="F284" s="551"/>
      <c r="G284" s="551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  <c r="BI284" s="20"/>
      <c r="BJ284" s="20"/>
      <c r="BK284" s="20"/>
      <c r="BL284" s="20"/>
      <c r="BM284" s="20"/>
      <c r="BN284" s="20"/>
      <c r="BO284" s="20"/>
      <c r="BP284" s="20"/>
      <c r="BQ284" s="20"/>
      <c r="BR284" s="20"/>
      <c r="BS284" s="20"/>
      <c r="BT284" s="20"/>
    </row>
    <row r="285" spans="1:72" hidden="1" x14ac:dyDescent="0.25">
      <c r="A285" s="6">
        <v>1</v>
      </c>
      <c r="B285" s="677"/>
      <c r="C285" s="542"/>
      <c r="D285" s="3"/>
      <c r="E285" s="3"/>
      <c r="F285" s="3"/>
      <c r="G285" s="3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  <c r="BI285" s="20"/>
      <c r="BJ285" s="20"/>
      <c r="BK285" s="20"/>
      <c r="BL285" s="20"/>
      <c r="BM285" s="20"/>
      <c r="BN285" s="20"/>
      <c r="BO285" s="20"/>
      <c r="BP285" s="20"/>
      <c r="BQ285" s="20"/>
      <c r="BR285" s="20"/>
      <c r="BS285" s="20"/>
      <c r="BT285" s="20"/>
    </row>
    <row r="286" spans="1:72" ht="15.75" hidden="1" x14ac:dyDescent="0.25">
      <c r="A286" s="6">
        <v>1</v>
      </c>
      <c r="B286" s="553" t="s">
        <v>97</v>
      </c>
      <c r="C286" s="543"/>
      <c r="D286" s="3"/>
      <c r="E286" s="3"/>
      <c r="F286" s="3"/>
      <c r="G286" s="3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  <c r="BI286" s="20"/>
      <c r="BJ286" s="20"/>
      <c r="BK286" s="20"/>
      <c r="BL286" s="20"/>
      <c r="BM286" s="20"/>
      <c r="BN286" s="20"/>
      <c r="BO286" s="20"/>
      <c r="BP286" s="20"/>
      <c r="BQ286" s="20"/>
      <c r="BR286" s="20"/>
      <c r="BS286" s="20"/>
      <c r="BT286" s="20"/>
    </row>
    <row r="287" spans="1:72" hidden="1" x14ac:dyDescent="0.25">
      <c r="A287" s="6">
        <v>1</v>
      </c>
      <c r="B287" s="356" t="s">
        <v>4</v>
      </c>
      <c r="C287" s="543"/>
      <c r="D287" s="3"/>
      <c r="E287" s="3"/>
      <c r="F287" s="3"/>
      <c r="G287" s="3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  <c r="BI287" s="20"/>
      <c r="BJ287" s="20"/>
      <c r="BK287" s="20"/>
      <c r="BL287" s="20"/>
      <c r="BM287" s="20"/>
      <c r="BN287" s="20"/>
      <c r="BO287" s="20"/>
      <c r="BP287" s="20"/>
      <c r="BQ287" s="20"/>
      <c r="BR287" s="20"/>
      <c r="BS287" s="20"/>
      <c r="BT287" s="20"/>
    </row>
    <row r="288" spans="1:72" hidden="1" x14ac:dyDescent="0.25">
      <c r="A288" s="6">
        <v>1</v>
      </c>
      <c r="B288" s="4" t="s">
        <v>49</v>
      </c>
      <c r="C288" s="231">
        <v>300</v>
      </c>
      <c r="D288" s="3">
        <v>1221</v>
      </c>
      <c r="E288" s="227">
        <v>5.7</v>
      </c>
      <c r="F288" s="3">
        <f>ROUND(G288/C288,0)</f>
        <v>23</v>
      </c>
      <c r="G288" s="3">
        <f>ROUND(D288*E288,0)</f>
        <v>6960</v>
      </c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  <c r="BI288" s="20"/>
      <c r="BJ288" s="20"/>
      <c r="BK288" s="20"/>
      <c r="BL288" s="20"/>
      <c r="BM288" s="20"/>
      <c r="BN288" s="20"/>
      <c r="BO288" s="20"/>
      <c r="BP288" s="20"/>
      <c r="BQ288" s="20"/>
      <c r="BR288" s="20"/>
      <c r="BS288" s="20"/>
      <c r="BT288" s="20"/>
    </row>
    <row r="289" spans="1:72" hidden="1" x14ac:dyDescent="0.25">
      <c r="A289" s="6">
        <v>1</v>
      </c>
      <c r="B289" s="4" t="s">
        <v>50</v>
      </c>
      <c r="C289" s="231">
        <v>340</v>
      </c>
      <c r="D289" s="3">
        <f>1300+6</f>
        <v>1306</v>
      </c>
      <c r="E289" s="227">
        <v>8</v>
      </c>
      <c r="F289" s="3">
        <f>ROUND(G289/C289,0)</f>
        <v>31</v>
      </c>
      <c r="G289" s="3">
        <f>ROUND(D289*E289,0)</f>
        <v>10448</v>
      </c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  <c r="BI289" s="20"/>
      <c r="BJ289" s="20"/>
      <c r="BK289" s="20"/>
      <c r="BL289" s="20"/>
      <c r="BM289" s="20"/>
      <c r="BN289" s="20"/>
      <c r="BO289" s="20"/>
      <c r="BP289" s="20"/>
      <c r="BQ289" s="20"/>
      <c r="BR289" s="20"/>
      <c r="BS289" s="20"/>
      <c r="BT289" s="20"/>
    </row>
    <row r="290" spans="1:72" hidden="1" x14ac:dyDescent="0.25">
      <c r="A290" s="6">
        <v>1</v>
      </c>
      <c r="B290" s="4" t="s">
        <v>51</v>
      </c>
      <c r="C290" s="231">
        <v>340</v>
      </c>
      <c r="D290" s="3">
        <f>5869-57</f>
        <v>5812</v>
      </c>
      <c r="E290" s="227">
        <v>6.1</v>
      </c>
      <c r="F290" s="3">
        <f>ROUND(G290/C290,0)</f>
        <v>104</v>
      </c>
      <c r="G290" s="3">
        <f>ROUND(D290*E290,0)</f>
        <v>35453</v>
      </c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  <c r="BI290" s="20"/>
      <c r="BJ290" s="20"/>
      <c r="BK290" s="20"/>
      <c r="BL290" s="20"/>
      <c r="BM290" s="20"/>
      <c r="BN290" s="20"/>
      <c r="BO290" s="20"/>
      <c r="BP290" s="20"/>
      <c r="BQ290" s="20"/>
      <c r="BR290" s="20"/>
      <c r="BS290" s="20"/>
      <c r="BT290" s="20"/>
    </row>
    <row r="291" spans="1:72" s="20" customFormat="1" hidden="1" x14ac:dyDescent="0.25">
      <c r="A291" s="6">
        <v>1</v>
      </c>
      <c r="B291" s="322" t="s">
        <v>5</v>
      </c>
      <c r="C291" s="409"/>
      <c r="D291" s="18">
        <f>D288+D289+D290</f>
        <v>8339</v>
      </c>
      <c r="E291" s="17">
        <f>G291/D291</f>
        <v>6.3390094735579803</v>
      </c>
      <c r="F291" s="18">
        <f>F288+F289+F290</f>
        <v>158</v>
      </c>
      <c r="G291" s="18">
        <f>G288+G289+G290</f>
        <v>52861</v>
      </c>
      <c r="K291" s="545"/>
    </row>
    <row r="292" spans="1:72" s="20" customFormat="1" hidden="1" x14ac:dyDescent="0.25">
      <c r="A292" s="6">
        <v>1</v>
      </c>
      <c r="B292" s="21" t="s">
        <v>185</v>
      </c>
      <c r="C292" s="207"/>
      <c r="D292" s="18"/>
      <c r="E292" s="3"/>
      <c r="F292" s="3"/>
      <c r="G292" s="3"/>
    </row>
    <row r="293" spans="1:72" s="20" customFormat="1" ht="30" hidden="1" x14ac:dyDescent="0.25">
      <c r="A293" s="6">
        <v>1</v>
      </c>
      <c r="B293" s="23" t="s">
        <v>323</v>
      </c>
      <c r="C293" s="207"/>
      <c r="D293" s="3">
        <f>D294</f>
        <v>61356</v>
      </c>
      <c r="E293" s="3"/>
      <c r="F293" s="3"/>
      <c r="G293" s="3"/>
    </row>
    <row r="294" spans="1:72" s="20" customFormat="1" hidden="1" x14ac:dyDescent="0.25">
      <c r="A294" s="6">
        <v>1</v>
      </c>
      <c r="B294" s="23" t="s">
        <v>223</v>
      </c>
      <c r="C294" s="207"/>
      <c r="D294" s="3">
        <v>61356</v>
      </c>
      <c r="E294" s="3"/>
      <c r="F294" s="3"/>
      <c r="G294" s="3"/>
    </row>
    <row r="295" spans="1:72" s="20" customFormat="1" hidden="1" x14ac:dyDescent="0.25">
      <c r="A295" s="6">
        <v>1</v>
      </c>
      <c r="B295" s="24" t="s">
        <v>118</v>
      </c>
      <c r="C295" s="207"/>
      <c r="D295" s="3">
        <f>23000-125</f>
        <v>22875</v>
      </c>
      <c r="E295" s="3"/>
      <c r="F295" s="3"/>
      <c r="G295" s="3"/>
    </row>
    <row r="296" spans="1:72" s="20" customFormat="1" ht="45" hidden="1" x14ac:dyDescent="0.25">
      <c r="A296" s="6">
        <v>1</v>
      </c>
      <c r="B296" s="24" t="s">
        <v>320</v>
      </c>
      <c r="C296" s="22"/>
      <c r="D296" s="3">
        <v>500</v>
      </c>
      <c r="E296" s="3"/>
      <c r="F296" s="3"/>
      <c r="G296" s="3"/>
    </row>
    <row r="297" spans="1:72" s="20" customFormat="1" hidden="1" x14ac:dyDescent="0.25">
      <c r="A297" s="6">
        <v>1</v>
      </c>
      <c r="B297" s="212" t="s">
        <v>151</v>
      </c>
      <c r="C297" s="22"/>
      <c r="D297" s="18">
        <f>D293+ROUND(D295*3.2,0)+D296</f>
        <v>135056</v>
      </c>
      <c r="E297" s="3"/>
      <c r="F297" s="3"/>
      <c r="G297" s="3"/>
      <c r="I297" s="545"/>
    </row>
    <row r="298" spans="1:72" s="20" customFormat="1" hidden="1" x14ac:dyDescent="0.25">
      <c r="A298" s="6">
        <v>1</v>
      </c>
      <c r="B298" s="449" t="s">
        <v>120</v>
      </c>
      <c r="C298" s="22"/>
      <c r="D298" s="202">
        <f>SUM(D299:D301)</f>
        <v>980</v>
      </c>
      <c r="E298" s="3"/>
      <c r="F298" s="3"/>
      <c r="G298" s="3"/>
      <c r="H298" s="433"/>
      <c r="J298" s="568"/>
      <c r="K298" s="568"/>
    </row>
    <row r="299" spans="1:72" s="20" customFormat="1" hidden="1" x14ac:dyDescent="0.25">
      <c r="A299" s="6">
        <v>1</v>
      </c>
      <c r="B299" s="569" t="s">
        <v>235</v>
      </c>
      <c r="C299" s="22"/>
      <c r="D299" s="3">
        <v>450</v>
      </c>
      <c r="E299" s="3"/>
      <c r="F299" s="3"/>
      <c r="G299" s="3"/>
      <c r="K299" s="433"/>
    </row>
    <row r="300" spans="1:72" s="20" customFormat="1" ht="60" hidden="1" x14ac:dyDescent="0.25">
      <c r="A300" s="6">
        <v>1</v>
      </c>
      <c r="B300" s="569" t="s">
        <v>287</v>
      </c>
      <c r="C300" s="22"/>
      <c r="D300" s="3">
        <v>500</v>
      </c>
      <c r="E300" s="3"/>
      <c r="F300" s="3"/>
      <c r="G300" s="3"/>
    </row>
    <row r="301" spans="1:72" s="20" customFormat="1" ht="60" hidden="1" x14ac:dyDescent="0.25">
      <c r="A301" s="6">
        <v>1</v>
      </c>
      <c r="B301" s="569" t="s">
        <v>290</v>
      </c>
      <c r="C301" s="22"/>
      <c r="D301" s="3">
        <v>30</v>
      </c>
      <c r="E301" s="3"/>
      <c r="F301" s="3"/>
      <c r="G301" s="3"/>
    </row>
    <row r="302" spans="1:72" s="20" customFormat="1" ht="15.75" hidden="1" customHeight="1" x14ac:dyDescent="0.25">
      <c r="A302" s="6">
        <v>1</v>
      </c>
      <c r="B302" s="34" t="s">
        <v>7</v>
      </c>
      <c r="C302" s="16"/>
      <c r="D302" s="13"/>
      <c r="E302" s="3"/>
      <c r="F302" s="3"/>
      <c r="G302" s="3"/>
    </row>
    <row r="303" spans="1:72" s="20" customFormat="1" hidden="1" x14ac:dyDescent="0.25">
      <c r="A303" s="6">
        <v>1</v>
      </c>
      <c r="B303" s="43" t="s">
        <v>76</v>
      </c>
      <c r="C303" s="409"/>
      <c r="D303" s="3"/>
      <c r="E303" s="3"/>
      <c r="F303" s="3"/>
      <c r="G303" s="3"/>
    </row>
    <row r="304" spans="1:72" s="20" customFormat="1" hidden="1" x14ac:dyDescent="0.25">
      <c r="A304" s="6">
        <v>1</v>
      </c>
      <c r="B304" s="4" t="s">
        <v>50</v>
      </c>
      <c r="C304" s="231">
        <v>240</v>
      </c>
      <c r="D304" s="3">
        <v>320</v>
      </c>
      <c r="E304" s="227">
        <v>9.5</v>
      </c>
      <c r="F304" s="3">
        <f>ROUND(G304/C304,0)</f>
        <v>13</v>
      </c>
      <c r="G304" s="3">
        <f>ROUND(D304*E304,0)</f>
        <v>3040</v>
      </c>
    </row>
    <row r="305" spans="1:72" s="20" customFormat="1" hidden="1" x14ac:dyDescent="0.25">
      <c r="A305" s="6">
        <v>1</v>
      </c>
      <c r="B305" s="4" t="s">
        <v>51</v>
      </c>
      <c r="C305" s="231">
        <v>240</v>
      </c>
      <c r="D305" s="3">
        <v>170</v>
      </c>
      <c r="E305" s="227">
        <v>4</v>
      </c>
      <c r="F305" s="3">
        <f>ROUND(G305/C305,0)</f>
        <v>3</v>
      </c>
      <c r="G305" s="3">
        <f>ROUND(D305*E305,0)</f>
        <v>680</v>
      </c>
    </row>
    <row r="306" spans="1:72" s="20" customFormat="1" hidden="1" x14ac:dyDescent="0.25">
      <c r="A306" s="6">
        <v>1</v>
      </c>
      <c r="B306" s="219" t="s">
        <v>141</v>
      </c>
      <c r="C306" s="231"/>
      <c r="D306" s="35">
        <f>D304+D305</f>
        <v>490</v>
      </c>
      <c r="E306" s="537">
        <f>E304</f>
        <v>9.5</v>
      </c>
      <c r="F306" s="35">
        <f t="shared" ref="F306:G306" si="19">F304+F305</f>
        <v>16</v>
      </c>
      <c r="G306" s="35">
        <f t="shared" si="19"/>
        <v>3720</v>
      </c>
    </row>
    <row r="307" spans="1:72" ht="19.5" hidden="1" customHeight="1" x14ac:dyDescent="0.25">
      <c r="A307" s="6">
        <v>1</v>
      </c>
      <c r="B307" s="31" t="s">
        <v>116</v>
      </c>
      <c r="C307" s="409"/>
      <c r="D307" s="18">
        <f t="shared" ref="D307" si="20">D306</f>
        <v>490</v>
      </c>
      <c r="E307" s="229">
        <f t="shared" ref="E307:G307" si="21">E306</f>
        <v>9.5</v>
      </c>
      <c r="F307" s="18">
        <f t="shared" si="21"/>
        <v>16</v>
      </c>
      <c r="G307" s="18">
        <f t="shared" si="21"/>
        <v>3720</v>
      </c>
    </row>
    <row r="308" spans="1:72" s="541" customFormat="1" ht="17.25" hidden="1" customHeight="1" x14ac:dyDescent="0.25">
      <c r="A308" s="6">
        <v>1</v>
      </c>
      <c r="B308" s="550" t="s">
        <v>10</v>
      </c>
      <c r="C308" s="570"/>
      <c r="D308" s="570"/>
      <c r="E308" s="570"/>
      <c r="F308" s="570"/>
      <c r="G308" s="57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  <c r="BI308" s="20"/>
      <c r="BJ308" s="20"/>
      <c r="BK308" s="20"/>
      <c r="BL308" s="20"/>
      <c r="BM308" s="20"/>
      <c r="BN308" s="20"/>
      <c r="BO308" s="20"/>
      <c r="BP308" s="20"/>
      <c r="BQ308" s="20"/>
      <c r="BR308" s="20"/>
      <c r="BS308" s="20"/>
      <c r="BT308" s="20"/>
    </row>
    <row r="309" spans="1:72" ht="14.25" customHeight="1" x14ac:dyDescent="0.25">
      <c r="A309" s="6">
        <v>1</v>
      </c>
      <c r="B309" s="552"/>
      <c r="C309" s="542"/>
      <c r="D309" s="3"/>
      <c r="E309" s="3"/>
      <c r="F309" s="3"/>
      <c r="G309" s="3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  <c r="BI309" s="20"/>
      <c r="BJ309" s="20"/>
      <c r="BK309" s="20"/>
      <c r="BL309" s="20"/>
      <c r="BM309" s="20"/>
      <c r="BN309" s="20"/>
      <c r="BO309" s="20"/>
      <c r="BP309" s="20"/>
      <c r="BQ309" s="20"/>
      <c r="BR309" s="20"/>
      <c r="BS309" s="20"/>
      <c r="BT309" s="20"/>
    </row>
    <row r="310" spans="1:72" ht="20.25" customHeight="1" x14ac:dyDescent="0.25">
      <c r="A310" s="6">
        <v>1</v>
      </c>
      <c r="B310" s="553" t="s">
        <v>104</v>
      </c>
      <c r="C310" s="409"/>
      <c r="D310" s="3"/>
      <c r="E310" s="3"/>
      <c r="F310" s="3"/>
      <c r="G310" s="3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  <c r="BI310" s="20"/>
      <c r="BJ310" s="20"/>
      <c r="BK310" s="20"/>
      <c r="BL310" s="20"/>
      <c r="BM310" s="20"/>
      <c r="BN310" s="20"/>
      <c r="BO310" s="20"/>
      <c r="BP310" s="20"/>
      <c r="BQ310" s="20"/>
      <c r="BR310" s="20"/>
      <c r="BS310" s="20"/>
      <c r="BT310" s="20"/>
    </row>
    <row r="311" spans="1:72" x14ac:dyDescent="0.25">
      <c r="A311" s="6">
        <v>1</v>
      </c>
      <c r="B311" s="356" t="s">
        <v>4</v>
      </c>
      <c r="C311" s="409"/>
      <c r="D311" s="3"/>
      <c r="E311" s="3"/>
      <c r="F311" s="3"/>
      <c r="G311" s="3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  <c r="BI311" s="20"/>
      <c r="BJ311" s="20"/>
      <c r="BK311" s="20"/>
      <c r="BL311" s="20"/>
      <c r="BM311" s="20"/>
      <c r="BN311" s="20"/>
      <c r="BO311" s="20"/>
      <c r="BP311" s="20"/>
      <c r="BQ311" s="20"/>
      <c r="BR311" s="20"/>
      <c r="BS311" s="20"/>
      <c r="BT311" s="20"/>
    </row>
    <row r="312" spans="1:72" x14ac:dyDescent="0.25">
      <c r="A312" s="6">
        <v>1</v>
      </c>
      <c r="B312" s="4" t="s">
        <v>106</v>
      </c>
      <c r="C312" s="231">
        <v>340</v>
      </c>
      <c r="D312" s="3">
        <v>963</v>
      </c>
      <c r="E312" s="227">
        <v>13.5</v>
      </c>
      <c r="F312" s="3">
        <f>ROUND(G312/C312,0)</f>
        <v>38</v>
      </c>
      <c r="G312" s="3">
        <f>ROUND(D312*E312,0)</f>
        <v>13001</v>
      </c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  <c r="BI312" s="20"/>
      <c r="BJ312" s="20"/>
      <c r="BK312" s="20"/>
      <c r="BL312" s="20"/>
      <c r="BM312" s="20"/>
      <c r="BN312" s="20"/>
      <c r="BO312" s="20"/>
      <c r="BP312" s="20"/>
      <c r="BQ312" s="20"/>
      <c r="BR312" s="20"/>
      <c r="BS312" s="20"/>
      <c r="BT312" s="20"/>
    </row>
    <row r="313" spans="1:72" x14ac:dyDescent="0.25">
      <c r="A313" s="6">
        <v>1</v>
      </c>
      <c r="B313" s="4" t="s">
        <v>113</v>
      </c>
      <c r="C313" s="231">
        <v>340</v>
      </c>
      <c r="D313" s="3">
        <v>1787</v>
      </c>
      <c r="E313" s="227">
        <v>7.9</v>
      </c>
      <c r="F313" s="3">
        <f>ROUND(G313/C313,0)</f>
        <v>42</v>
      </c>
      <c r="G313" s="3">
        <f>ROUND(D313*E313,0)</f>
        <v>14117</v>
      </c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  <c r="BI313" s="20"/>
      <c r="BJ313" s="20"/>
      <c r="BK313" s="20"/>
      <c r="BL313" s="20"/>
      <c r="BM313" s="20"/>
      <c r="BN313" s="20"/>
      <c r="BO313" s="20"/>
      <c r="BP313" s="20"/>
      <c r="BQ313" s="20"/>
      <c r="BR313" s="20"/>
      <c r="BS313" s="20"/>
      <c r="BT313" s="20"/>
    </row>
    <row r="314" spans="1:72" s="20" customFormat="1" ht="17.25" customHeight="1" x14ac:dyDescent="0.25">
      <c r="A314" s="6">
        <v>1</v>
      </c>
      <c r="B314" s="322" t="s">
        <v>5</v>
      </c>
      <c r="C314" s="409"/>
      <c r="D314" s="18">
        <f>D312+D313</f>
        <v>2750</v>
      </c>
      <c r="E314" s="17">
        <f>G314/D314</f>
        <v>9.8610909090909082</v>
      </c>
      <c r="F314" s="18">
        <f>F312+F313</f>
        <v>80</v>
      </c>
      <c r="G314" s="18">
        <f>G312+G313</f>
        <v>27118</v>
      </c>
    </row>
    <row r="315" spans="1:72" s="20" customFormat="1" ht="17.25" customHeight="1" x14ac:dyDescent="0.25">
      <c r="A315" s="6">
        <v>1</v>
      </c>
      <c r="B315" s="322"/>
      <c r="C315" s="262"/>
      <c r="D315" s="18"/>
      <c r="E315" s="17"/>
      <c r="F315" s="18"/>
      <c r="G315" s="18"/>
    </row>
    <row r="316" spans="1:72" s="20" customFormat="1" x14ac:dyDescent="0.25">
      <c r="A316" s="6">
        <v>1</v>
      </c>
      <c r="B316" s="21" t="s">
        <v>185</v>
      </c>
      <c r="C316" s="207"/>
      <c r="D316" s="18"/>
      <c r="E316" s="3"/>
      <c r="F316" s="3"/>
      <c r="G316" s="3"/>
    </row>
    <row r="317" spans="1:72" s="20" customFormat="1" ht="30" x14ac:dyDescent="0.25">
      <c r="A317" s="6">
        <v>1</v>
      </c>
      <c r="B317" s="23" t="s">
        <v>323</v>
      </c>
      <c r="C317" s="207"/>
      <c r="D317" s="3">
        <f>D318</f>
        <v>27400</v>
      </c>
      <c r="E317" s="3"/>
      <c r="F317" s="3"/>
      <c r="G317" s="3"/>
    </row>
    <row r="318" spans="1:72" s="20" customFormat="1" x14ac:dyDescent="0.25">
      <c r="A318" s="6">
        <v>1</v>
      </c>
      <c r="B318" s="23" t="s">
        <v>303</v>
      </c>
      <c r="C318" s="207"/>
      <c r="D318" s="3">
        <v>27400</v>
      </c>
      <c r="E318" s="3"/>
      <c r="F318" s="3"/>
      <c r="G318" s="3"/>
    </row>
    <row r="319" spans="1:72" s="20" customFormat="1" x14ac:dyDescent="0.25">
      <c r="A319" s="6">
        <v>1</v>
      </c>
      <c r="B319" s="24" t="s">
        <v>118</v>
      </c>
      <c r="C319" s="207"/>
      <c r="D319" s="3"/>
      <c r="E319" s="3"/>
      <c r="F319" s="3"/>
      <c r="G319" s="3"/>
    </row>
    <row r="320" spans="1:72" s="20" customFormat="1" ht="30" x14ac:dyDescent="0.25">
      <c r="A320" s="6">
        <v>1</v>
      </c>
      <c r="B320" s="24" t="s">
        <v>119</v>
      </c>
      <c r="C320" s="22"/>
      <c r="D320" s="3"/>
      <c r="E320" s="3"/>
      <c r="F320" s="3"/>
      <c r="G320" s="3"/>
    </row>
    <row r="321" spans="1:7" s="20" customFormat="1" x14ac:dyDescent="0.25">
      <c r="A321" s="6">
        <v>1</v>
      </c>
      <c r="B321" s="49" t="s">
        <v>151</v>
      </c>
      <c r="C321" s="22"/>
      <c r="D321" s="18">
        <f>D317+ROUND(D319*3.2,0)+D320</f>
        <v>27400</v>
      </c>
      <c r="E321" s="3"/>
      <c r="F321" s="3"/>
      <c r="G321" s="3"/>
    </row>
    <row r="322" spans="1:7" s="20" customFormat="1" x14ac:dyDescent="0.25">
      <c r="A322" s="6">
        <v>1</v>
      </c>
      <c r="B322" s="449" t="s">
        <v>120</v>
      </c>
      <c r="C322" s="22"/>
      <c r="D322" s="202">
        <f>SUM(D323:D328)</f>
        <v>12585</v>
      </c>
      <c r="E322" s="3"/>
      <c r="F322" s="3"/>
      <c r="G322" s="3"/>
    </row>
    <row r="323" spans="1:7" s="20" customFormat="1" x14ac:dyDescent="0.25">
      <c r="A323" s="6">
        <v>1</v>
      </c>
      <c r="B323" s="36" t="s">
        <v>252</v>
      </c>
      <c r="C323" s="22"/>
      <c r="D323" s="3">
        <v>150</v>
      </c>
      <c r="E323" s="3"/>
      <c r="F323" s="3"/>
      <c r="G323" s="3"/>
    </row>
    <row r="324" spans="1:7" s="20" customFormat="1" x14ac:dyDescent="0.25">
      <c r="A324" s="6">
        <v>1</v>
      </c>
      <c r="B324" s="36" t="s">
        <v>19</v>
      </c>
      <c r="C324" s="22"/>
      <c r="D324" s="3">
        <v>2302</v>
      </c>
      <c r="E324" s="3"/>
      <c r="F324" s="3"/>
      <c r="G324" s="3"/>
    </row>
    <row r="325" spans="1:7" s="20" customFormat="1" ht="30" x14ac:dyDescent="0.25">
      <c r="A325" s="6">
        <v>1</v>
      </c>
      <c r="B325" s="36" t="s">
        <v>162</v>
      </c>
      <c r="C325" s="22"/>
      <c r="D325" s="3">
        <v>1233</v>
      </c>
      <c r="E325" s="3"/>
      <c r="F325" s="3"/>
      <c r="G325" s="3"/>
    </row>
    <row r="326" spans="1:7" s="20" customFormat="1" ht="30" x14ac:dyDescent="0.25">
      <c r="A326" s="6">
        <v>1</v>
      </c>
      <c r="B326" s="36" t="s">
        <v>246</v>
      </c>
      <c r="C326" s="22"/>
      <c r="D326" s="3">
        <v>2400</v>
      </c>
      <c r="E326" s="3"/>
      <c r="F326" s="3"/>
      <c r="G326" s="3"/>
    </row>
    <row r="327" spans="1:7" s="20" customFormat="1" x14ac:dyDescent="0.25">
      <c r="A327" s="6">
        <v>1</v>
      </c>
      <c r="B327" s="36" t="s">
        <v>52</v>
      </c>
      <c r="C327" s="22"/>
      <c r="D327" s="3">
        <v>2500</v>
      </c>
      <c r="E327" s="3"/>
      <c r="F327" s="3"/>
      <c r="G327" s="3"/>
    </row>
    <row r="328" spans="1:7" s="20" customFormat="1" x14ac:dyDescent="0.25">
      <c r="A328" s="6">
        <v>1</v>
      </c>
      <c r="B328" s="36" t="s">
        <v>29</v>
      </c>
      <c r="C328" s="22"/>
      <c r="D328" s="3">
        <v>4000</v>
      </c>
      <c r="E328" s="3"/>
      <c r="F328" s="3"/>
      <c r="G328" s="3"/>
    </row>
    <row r="329" spans="1:7" s="20" customFormat="1" x14ac:dyDescent="0.25">
      <c r="A329" s="6">
        <v>1</v>
      </c>
      <c r="B329" s="34" t="s">
        <v>7</v>
      </c>
      <c r="C329" s="231"/>
      <c r="D329" s="18"/>
      <c r="E329" s="18"/>
      <c r="F329" s="18"/>
      <c r="G329" s="18"/>
    </row>
    <row r="330" spans="1:7" s="20" customFormat="1" x14ac:dyDescent="0.25">
      <c r="A330" s="6">
        <v>1</v>
      </c>
      <c r="B330" s="43" t="s">
        <v>139</v>
      </c>
      <c r="C330" s="231"/>
      <c r="D330" s="18"/>
      <c r="E330" s="18"/>
      <c r="F330" s="18"/>
      <c r="G330" s="18"/>
    </row>
    <row r="331" spans="1:7" s="20" customFormat="1" x14ac:dyDescent="0.25">
      <c r="A331" s="6">
        <v>1</v>
      </c>
      <c r="B331" s="29" t="s">
        <v>106</v>
      </c>
      <c r="C331" s="231">
        <v>330</v>
      </c>
      <c r="D331" s="3">
        <f>356+21</f>
        <v>377</v>
      </c>
      <c r="E331" s="227">
        <v>5.7</v>
      </c>
      <c r="F331" s="3">
        <f>ROUND(G331/C331,0)</f>
        <v>7</v>
      </c>
      <c r="G331" s="3">
        <f>ROUND(D331*E331,0)</f>
        <v>2149</v>
      </c>
    </row>
    <row r="332" spans="1:7" s="20" customFormat="1" x14ac:dyDescent="0.25">
      <c r="A332" s="6">
        <v>1</v>
      </c>
      <c r="B332" s="219" t="s">
        <v>9</v>
      </c>
      <c r="C332" s="409"/>
      <c r="D332" s="35">
        <f>D331</f>
        <v>377</v>
      </c>
      <c r="E332" s="17">
        <f>G332/D332</f>
        <v>5.7002652519893902</v>
      </c>
      <c r="F332" s="35">
        <f>F331</f>
        <v>7</v>
      </c>
      <c r="G332" s="35">
        <f>G331</f>
        <v>2149</v>
      </c>
    </row>
    <row r="333" spans="1:7" s="20" customFormat="1" x14ac:dyDescent="0.25">
      <c r="A333" s="6">
        <v>1</v>
      </c>
      <c r="B333" s="43" t="s">
        <v>20</v>
      </c>
      <c r="C333" s="231"/>
      <c r="D333" s="35"/>
      <c r="E333" s="571"/>
      <c r="F333" s="35"/>
      <c r="G333" s="35"/>
    </row>
    <row r="334" spans="1:7" s="20" customFormat="1" x14ac:dyDescent="0.25">
      <c r="A334" s="6">
        <v>1</v>
      </c>
      <c r="B334" s="4" t="s">
        <v>106</v>
      </c>
      <c r="C334" s="231">
        <v>240</v>
      </c>
      <c r="D334" s="3">
        <f>606+41</f>
        <v>647</v>
      </c>
      <c r="E334" s="227">
        <v>8</v>
      </c>
      <c r="F334" s="3">
        <f>ROUND(G334/C334,0)</f>
        <v>22</v>
      </c>
      <c r="G334" s="3">
        <f>ROUND(D334*E334,0)</f>
        <v>5176</v>
      </c>
    </row>
    <row r="335" spans="1:7" s="20" customFormat="1" x14ac:dyDescent="0.25">
      <c r="A335" s="6">
        <v>1</v>
      </c>
      <c r="B335" s="572" t="s">
        <v>141</v>
      </c>
      <c r="C335" s="547"/>
      <c r="D335" s="35">
        <f t="shared" ref="D335" si="22">D334</f>
        <v>647</v>
      </c>
      <c r="E335" s="571">
        <f t="shared" ref="E335:G335" si="23">E334</f>
        <v>8</v>
      </c>
      <c r="F335" s="35">
        <f t="shared" si="23"/>
        <v>22</v>
      </c>
      <c r="G335" s="35">
        <f t="shared" si="23"/>
        <v>5176</v>
      </c>
    </row>
    <row r="336" spans="1:7" s="20" customFormat="1" ht="14.25" customHeight="1" x14ac:dyDescent="0.25">
      <c r="A336" s="6">
        <v>1</v>
      </c>
      <c r="B336" s="31" t="s">
        <v>116</v>
      </c>
      <c r="C336" s="409"/>
      <c r="D336" s="18">
        <f>D332+D335</f>
        <v>1024</v>
      </c>
      <c r="E336" s="17">
        <f>G336/D336</f>
        <v>7.1533203125</v>
      </c>
      <c r="F336" s="18">
        <f>F332+F334</f>
        <v>29</v>
      </c>
      <c r="G336" s="18">
        <f>G332+G334</f>
        <v>7325</v>
      </c>
    </row>
    <row r="337" spans="1:72" s="541" customFormat="1" ht="15.75" customHeight="1" thickBot="1" x14ac:dyDescent="0.3">
      <c r="A337" s="6">
        <v>1</v>
      </c>
      <c r="B337" s="573" t="s">
        <v>10</v>
      </c>
      <c r="C337" s="539"/>
      <c r="D337" s="539"/>
      <c r="E337" s="539"/>
      <c r="F337" s="539"/>
      <c r="G337" s="539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  <c r="BI337" s="20"/>
      <c r="BJ337" s="20"/>
      <c r="BK337" s="20"/>
      <c r="BL337" s="20"/>
      <c r="BM337" s="20"/>
      <c r="BN337" s="20"/>
      <c r="BO337" s="20"/>
      <c r="BP337" s="20"/>
      <c r="BQ337" s="20"/>
      <c r="BR337" s="20"/>
      <c r="BS337" s="20"/>
      <c r="BT337" s="20"/>
    </row>
    <row r="338" spans="1:72" ht="20.25" customHeight="1" x14ac:dyDescent="0.25">
      <c r="A338" s="6">
        <v>1</v>
      </c>
      <c r="B338" s="720" t="s">
        <v>91</v>
      </c>
      <c r="C338" s="574"/>
      <c r="D338" s="258"/>
      <c r="E338" s="258"/>
      <c r="F338" s="258"/>
      <c r="G338" s="258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  <c r="BI338" s="20"/>
      <c r="BJ338" s="20"/>
      <c r="BK338" s="20"/>
      <c r="BL338" s="20"/>
      <c r="BM338" s="20"/>
      <c r="BN338" s="20"/>
      <c r="BO338" s="20"/>
      <c r="BP338" s="20"/>
      <c r="BQ338" s="20"/>
      <c r="BR338" s="20"/>
      <c r="BS338" s="20"/>
      <c r="BT338" s="20"/>
    </row>
    <row r="339" spans="1:72" ht="18.75" customHeight="1" x14ac:dyDescent="0.25">
      <c r="A339" s="6">
        <v>1</v>
      </c>
      <c r="B339" s="356" t="s">
        <v>4</v>
      </c>
      <c r="C339" s="409"/>
      <c r="D339" s="3"/>
      <c r="E339" s="3"/>
      <c r="F339" s="3"/>
      <c r="G339" s="3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  <c r="BI339" s="20"/>
      <c r="BJ339" s="20"/>
      <c r="BK339" s="20"/>
      <c r="BL339" s="20"/>
      <c r="BM339" s="20"/>
      <c r="BN339" s="20"/>
      <c r="BO339" s="20"/>
      <c r="BP339" s="20"/>
      <c r="BQ339" s="20"/>
      <c r="BR339" s="20"/>
      <c r="BS339" s="20"/>
      <c r="BT339" s="20"/>
    </row>
    <row r="340" spans="1:72" x14ac:dyDescent="0.25">
      <c r="A340" s="6">
        <v>1</v>
      </c>
      <c r="B340" s="4" t="s">
        <v>42</v>
      </c>
      <c r="C340" s="231">
        <v>320</v>
      </c>
      <c r="D340" s="3">
        <v>1293</v>
      </c>
      <c r="E340" s="227">
        <v>9.6</v>
      </c>
      <c r="F340" s="3">
        <f t="shared" ref="F340:F345" si="24">ROUND(G340/C340,0)</f>
        <v>39</v>
      </c>
      <c r="G340" s="3">
        <f t="shared" ref="G340:G345" si="25">ROUND(D340*E340,0)</f>
        <v>12413</v>
      </c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  <c r="BI340" s="20"/>
      <c r="BJ340" s="20"/>
      <c r="BK340" s="20"/>
      <c r="BL340" s="20"/>
      <c r="BM340" s="20"/>
      <c r="BN340" s="20"/>
      <c r="BO340" s="20"/>
      <c r="BP340" s="20"/>
      <c r="BQ340" s="20"/>
      <c r="BR340" s="20"/>
      <c r="BS340" s="20"/>
      <c r="BT340" s="20"/>
    </row>
    <row r="341" spans="1:72" x14ac:dyDescent="0.25">
      <c r="A341" s="6">
        <v>1</v>
      </c>
      <c r="B341" s="4" t="s">
        <v>63</v>
      </c>
      <c r="C341" s="231">
        <v>320</v>
      </c>
      <c r="D341" s="3">
        <v>136</v>
      </c>
      <c r="E341" s="562">
        <v>13</v>
      </c>
      <c r="F341" s="3">
        <f t="shared" si="24"/>
        <v>6</v>
      </c>
      <c r="G341" s="3">
        <f t="shared" si="25"/>
        <v>1768</v>
      </c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  <c r="BI341" s="20"/>
      <c r="BJ341" s="20"/>
      <c r="BK341" s="20"/>
      <c r="BL341" s="20"/>
      <c r="BM341" s="20"/>
      <c r="BN341" s="20"/>
      <c r="BO341" s="20"/>
      <c r="BP341" s="20"/>
      <c r="BQ341" s="20"/>
      <c r="BR341" s="20"/>
      <c r="BS341" s="20"/>
      <c r="BT341" s="20"/>
    </row>
    <row r="342" spans="1:72" ht="15.75" customHeight="1" x14ac:dyDescent="0.25">
      <c r="A342" s="6">
        <v>1</v>
      </c>
      <c r="B342" s="575" t="s">
        <v>99</v>
      </c>
      <c r="C342" s="231">
        <v>320</v>
      </c>
      <c r="D342" s="3">
        <v>596</v>
      </c>
      <c r="E342" s="561">
        <v>15.2</v>
      </c>
      <c r="F342" s="3">
        <f t="shared" si="24"/>
        <v>28</v>
      </c>
      <c r="G342" s="3">
        <f t="shared" si="25"/>
        <v>9059</v>
      </c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  <c r="BI342" s="20"/>
      <c r="BJ342" s="20"/>
      <c r="BK342" s="20"/>
      <c r="BL342" s="20"/>
      <c r="BM342" s="20"/>
      <c r="BN342" s="20"/>
      <c r="BO342" s="20"/>
      <c r="BP342" s="20"/>
      <c r="BQ342" s="20"/>
      <c r="BR342" s="20"/>
      <c r="BS342" s="20"/>
      <c r="BT342" s="20"/>
    </row>
    <row r="343" spans="1:72" x14ac:dyDescent="0.25">
      <c r="A343" s="6">
        <v>1</v>
      </c>
      <c r="B343" s="4" t="s">
        <v>14</v>
      </c>
      <c r="C343" s="231">
        <v>320</v>
      </c>
      <c r="D343" s="3">
        <v>356</v>
      </c>
      <c r="E343" s="561">
        <v>10.5</v>
      </c>
      <c r="F343" s="3">
        <f t="shared" si="24"/>
        <v>12</v>
      </c>
      <c r="G343" s="3">
        <f t="shared" si="25"/>
        <v>3738</v>
      </c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  <c r="BI343" s="20"/>
      <c r="BJ343" s="20"/>
      <c r="BK343" s="20"/>
      <c r="BL343" s="20"/>
      <c r="BM343" s="20"/>
      <c r="BN343" s="20"/>
      <c r="BO343" s="20"/>
      <c r="BP343" s="20"/>
      <c r="BQ343" s="20"/>
      <c r="BR343" s="20"/>
      <c r="BS343" s="20"/>
      <c r="BT343" s="20"/>
    </row>
    <row r="344" spans="1:72" x14ac:dyDescent="0.25">
      <c r="A344" s="6">
        <v>1</v>
      </c>
      <c r="B344" s="4" t="s">
        <v>57</v>
      </c>
      <c r="C344" s="231">
        <v>320</v>
      </c>
      <c r="D344" s="3">
        <v>311</v>
      </c>
      <c r="E344" s="227">
        <v>12.7</v>
      </c>
      <c r="F344" s="3">
        <f t="shared" si="24"/>
        <v>12</v>
      </c>
      <c r="G344" s="3">
        <f t="shared" si="25"/>
        <v>3950</v>
      </c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  <c r="BI344" s="20"/>
      <c r="BJ344" s="20"/>
      <c r="BK344" s="20"/>
      <c r="BL344" s="20"/>
      <c r="BM344" s="20"/>
      <c r="BN344" s="20"/>
      <c r="BO344" s="20"/>
      <c r="BP344" s="20"/>
      <c r="BQ344" s="20"/>
      <c r="BR344" s="20"/>
      <c r="BS344" s="20"/>
      <c r="BT344" s="20"/>
    </row>
    <row r="345" spans="1:72" x14ac:dyDescent="0.25">
      <c r="A345" s="6">
        <v>1</v>
      </c>
      <c r="B345" s="4" t="s">
        <v>107</v>
      </c>
      <c r="C345" s="231">
        <v>320</v>
      </c>
      <c r="D345" s="3">
        <v>326</v>
      </c>
      <c r="E345" s="227">
        <v>14</v>
      </c>
      <c r="F345" s="3">
        <f t="shared" si="24"/>
        <v>14</v>
      </c>
      <c r="G345" s="3">
        <f t="shared" si="25"/>
        <v>4564</v>
      </c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  <c r="BI345" s="20"/>
      <c r="BJ345" s="20"/>
      <c r="BK345" s="20"/>
      <c r="BL345" s="20"/>
      <c r="BM345" s="20"/>
      <c r="BN345" s="20"/>
      <c r="BO345" s="20"/>
      <c r="BP345" s="20"/>
      <c r="BQ345" s="20"/>
      <c r="BR345" s="20"/>
      <c r="BS345" s="20"/>
      <c r="BT345" s="20"/>
    </row>
    <row r="346" spans="1:72" s="20" customFormat="1" ht="15" customHeight="1" x14ac:dyDescent="0.25">
      <c r="A346" s="6">
        <v>1</v>
      </c>
      <c r="B346" s="322" t="s">
        <v>5</v>
      </c>
      <c r="C346" s="409"/>
      <c r="D346" s="18">
        <f>SUM(D340:D345)</f>
        <v>3018</v>
      </c>
      <c r="E346" s="17">
        <f>G346/D346</f>
        <v>11.760106030483763</v>
      </c>
      <c r="F346" s="18">
        <f>SUM(F340:F345)</f>
        <v>111</v>
      </c>
      <c r="G346" s="18">
        <f>SUM(G340:G345)</f>
        <v>35492</v>
      </c>
      <c r="H346" s="275"/>
    </row>
    <row r="347" spans="1:72" s="46" customFormat="1" ht="18.75" customHeight="1" x14ac:dyDescent="0.25">
      <c r="A347" s="6">
        <v>1</v>
      </c>
      <c r="B347" s="21" t="s">
        <v>205</v>
      </c>
      <c r="C347" s="21"/>
      <c r="D347" s="74"/>
      <c r="E347" s="45"/>
      <c r="F347" s="45"/>
      <c r="G347" s="45"/>
    </row>
    <row r="348" spans="1:72" s="46" customFormat="1" ht="30" x14ac:dyDescent="0.25">
      <c r="A348" s="6">
        <v>1</v>
      </c>
      <c r="B348" s="23" t="s">
        <v>323</v>
      </c>
      <c r="C348" s="47"/>
      <c r="D348" s="45">
        <f>SUM(D349,D350,D351,D352)</f>
        <v>24392</v>
      </c>
      <c r="E348" s="45"/>
      <c r="F348" s="45"/>
      <c r="G348" s="45"/>
    </row>
    <row r="349" spans="1:72" s="46" customFormat="1" x14ac:dyDescent="0.25">
      <c r="A349" s="6">
        <v>1</v>
      </c>
      <c r="B349" s="48" t="s">
        <v>206</v>
      </c>
      <c r="C349" s="47"/>
      <c r="D349" s="45">
        <v>5300</v>
      </c>
      <c r="E349" s="45"/>
      <c r="F349" s="45"/>
      <c r="G349" s="45"/>
    </row>
    <row r="350" spans="1:72" s="46" customFormat="1" ht="37.5" customHeight="1" x14ac:dyDescent="0.25">
      <c r="A350" s="6">
        <v>1</v>
      </c>
      <c r="B350" s="48" t="s">
        <v>207</v>
      </c>
      <c r="C350" s="47"/>
      <c r="D350" s="3">
        <v>7542</v>
      </c>
      <c r="E350" s="45"/>
      <c r="F350" s="45"/>
      <c r="G350" s="45"/>
    </row>
    <row r="351" spans="1:72" s="46" customFormat="1" ht="30" x14ac:dyDescent="0.25">
      <c r="A351" s="6">
        <v>1</v>
      </c>
      <c r="B351" s="48" t="s">
        <v>208</v>
      </c>
      <c r="C351" s="47"/>
      <c r="D351" s="3">
        <v>1000</v>
      </c>
      <c r="E351" s="45"/>
      <c r="F351" s="45"/>
      <c r="G351" s="45"/>
    </row>
    <row r="352" spans="1:72" s="46" customFormat="1" x14ac:dyDescent="0.25">
      <c r="A352" s="6">
        <v>1</v>
      </c>
      <c r="B352" s="23" t="s">
        <v>209</v>
      </c>
      <c r="C352" s="47"/>
      <c r="D352" s="3">
        <v>10550</v>
      </c>
      <c r="E352" s="45"/>
      <c r="F352" s="45"/>
      <c r="G352" s="45"/>
    </row>
    <row r="353" spans="1:7" s="20" customFormat="1" x14ac:dyDescent="0.25">
      <c r="A353" s="6">
        <v>1</v>
      </c>
      <c r="B353" s="24" t="s">
        <v>118</v>
      </c>
      <c r="C353" s="22"/>
      <c r="D353" s="3">
        <v>65200</v>
      </c>
      <c r="E353" s="3"/>
      <c r="F353" s="3"/>
      <c r="G353" s="3"/>
    </row>
    <row r="354" spans="1:7" s="46" customFormat="1" x14ac:dyDescent="0.25">
      <c r="A354" s="6">
        <v>1</v>
      </c>
      <c r="B354" s="44" t="s">
        <v>150</v>
      </c>
      <c r="C354" s="262"/>
      <c r="D354" s="3"/>
      <c r="E354" s="45"/>
      <c r="F354" s="45"/>
      <c r="G354" s="45"/>
    </row>
    <row r="355" spans="1:7" s="46" customFormat="1" ht="15.75" customHeight="1" x14ac:dyDescent="0.25">
      <c r="A355" s="6">
        <v>1</v>
      </c>
      <c r="B355" s="49" t="s">
        <v>210</v>
      </c>
      <c r="C355" s="50"/>
      <c r="D355" s="47">
        <f>D348+ROUND(D353*3.2,0)</f>
        <v>233032</v>
      </c>
      <c r="E355" s="51"/>
      <c r="F355" s="51"/>
      <c r="G355" s="51"/>
    </row>
    <row r="356" spans="1:7" s="46" customFormat="1" ht="15.75" customHeight="1" x14ac:dyDescent="0.25">
      <c r="A356" s="6">
        <v>1</v>
      </c>
      <c r="B356" s="21" t="s">
        <v>153</v>
      </c>
      <c r="C356" s="22"/>
      <c r="D356" s="3"/>
      <c r="E356" s="51"/>
      <c r="F356" s="51"/>
      <c r="G356" s="51"/>
    </row>
    <row r="357" spans="1:7" s="46" customFormat="1" ht="32.25" customHeight="1" x14ac:dyDescent="0.25">
      <c r="A357" s="6">
        <v>1</v>
      </c>
      <c r="B357" s="23" t="s">
        <v>323</v>
      </c>
      <c r="C357" s="22"/>
      <c r="D357" s="3">
        <f>SUM(D358,D359,D366,D372,D373,D374)</f>
        <v>152004</v>
      </c>
      <c r="E357" s="51"/>
      <c r="F357" s="51"/>
      <c r="G357" s="51"/>
    </row>
    <row r="358" spans="1:7" s="46" customFormat="1" ht="15.75" customHeight="1" x14ac:dyDescent="0.25">
      <c r="A358" s="6">
        <v>1</v>
      </c>
      <c r="B358" s="23" t="s">
        <v>206</v>
      </c>
      <c r="C358" s="22"/>
      <c r="D358" s="3"/>
      <c r="E358" s="51"/>
      <c r="F358" s="51"/>
      <c r="G358" s="51"/>
    </row>
    <row r="359" spans="1:7" s="46" customFormat="1" ht="15.75" customHeight="1" x14ac:dyDescent="0.25">
      <c r="A359" s="6">
        <v>1</v>
      </c>
      <c r="B359" s="48" t="s">
        <v>211</v>
      </c>
      <c r="C359" s="22"/>
      <c r="D359" s="3">
        <f>D360+D361+D362+D364</f>
        <v>5304</v>
      </c>
      <c r="E359" s="51"/>
      <c r="F359" s="51"/>
      <c r="G359" s="51"/>
    </row>
    <row r="360" spans="1:7" s="46" customFormat="1" ht="19.5" customHeight="1" x14ac:dyDescent="0.25">
      <c r="A360" s="6">
        <v>1</v>
      </c>
      <c r="B360" s="52" t="s">
        <v>212</v>
      </c>
      <c r="C360" s="22"/>
      <c r="D360" s="45"/>
      <c r="E360" s="51"/>
      <c r="F360" s="51"/>
      <c r="G360" s="51"/>
    </row>
    <row r="361" spans="1:7" s="46" customFormat="1" ht="15.75" customHeight="1" x14ac:dyDescent="0.25">
      <c r="A361" s="6">
        <v>1</v>
      </c>
      <c r="B361" s="52" t="s">
        <v>213</v>
      </c>
      <c r="C361" s="22"/>
      <c r="D361" s="45"/>
      <c r="E361" s="51"/>
      <c r="F361" s="51"/>
      <c r="G361" s="51"/>
    </row>
    <row r="362" spans="1:7" s="46" customFormat="1" ht="30.75" customHeight="1" x14ac:dyDescent="0.25">
      <c r="A362" s="6">
        <v>1</v>
      </c>
      <c r="B362" s="52" t="s">
        <v>214</v>
      </c>
      <c r="C362" s="22"/>
      <c r="D362" s="45">
        <v>850</v>
      </c>
      <c r="E362" s="51"/>
      <c r="F362" s="51"/>
      <c r="G362" s="51"/>
    </row>
    <row r="363" spans="1:7" s="46" customFormat="1" x14ac:dyDescent="0.25">
      <c r="A363" s="6">
        <v>1</v>
      </c>
      <c r="B363" s="52" t="s">
        <v>215</v>
      </c>
      <c r="C363" s="22"/>
      <c r="D363" s="45">
        <v>120</v>
      </c>
      <c r="E363" s="51"/>
      <c r="F363" s="51"/>
      <c r="G363" s="51"/>
    </row>
    <row r="364" spans="1:7" s="46" customFormat="1" ht="30" x14ac:dyDescent="0.25">
      <c r="A364" s="6">
        <v>1</v>
      </c>
      <c r="B364" s="52" t="s">
        <v>216</v>
      </c>
      <c r="C364" s="22"/>
      <c r="D364" s="45">
        <v>4454</v>
      </c>
      <c r="E364" s="51"/>
      <c r="F364" s="51"/>
      <c r="G364" s="51"/>
    </row>
    <row r="365" spans="1:7" s="46" customFormat="1" x14ac:dyDescent="0.25">
      <c r="A365" s="6">
        <v>1</v>
      </c>
      <c r="B365" s="52" t="s">
        <v>215</v>
      </c>
      <c r="C365" s="22"/>
      <c r="D365" s="76">
        <v>500</v>
      </c>
      <c r="E365" s="51"/>
      <c r="F365" s="51"/>
      <c r="G365" s="51"/>
    </row>
    <row r="366" spans="1:7" s="46" customFormat="1" ht="30" customHeight="1" x14ac:dyDescent="0.25">
      <c r="A366" s="6">
        <v>1</v>
      </c>
      <c r="B366" s="48" t="s">
        <v>217</v>
      </c>
      <c r="C366" s="22"/>
      <c r="D366" s="3">
        <f>SUM(D367,D368,D370)</f>
        <v>146700</v>
      </c>
      <c r="E366" s="51"/>
      <c r="F366" s="51"/>
      <c r="G366" s="51"/>
    </row>
    <row r="367" spans="1:7" s="46" customFormat="1" ht="30" x14ac:dyDescent="0.25">
      <c r="A367" s="6">
        <v>1</v>
      </c>
      <c r="B367" s="52" t="s">
        <v>218</v>
      </c>
      <c r="C367" s="22"/>
      <c r="D367" s="3"/>
      <c r="E367" s="51"/>
      <c r="F367" s="51"/>
      <c r="G367" s="51"/>
    </row>
    <row r="368" spans="1:7" s="46" customFormat="1" ht="45" x14ac:dyDescent="0.25">
      <c r="A368" s="6">
        <v>1</v>
      </c>
      <c r="B368" s="52" t="s">
        <v>219</v>
      </c>
      <c r="C368" s="22"/>
      <c r="D368" s="42">
        <v>116200</v>
      </c>
      <c r="E368" s="51"/>
      <c r="F368" s="51"/>
      <c r="G368" s="51"/>
    </row>
    <row r="369" spans="1:10" s="46" customFormat="1" x14ac:dyDescent="0.25">
      <c r="A369" s="6">
        <v>1</v>
      </c>
      <c r="B369" s="52" t="s">
        <v>215</v>
      </c>
      <c r="C369" s="22"/>
      <c r="D369" s="42">
        <v>28000</v>
      </c>
      <c r="E369" s="51"/>
      <c r="F369" s="51"/>
      <c r="G369" s="51"/>
    </row>
    <row r="370" spans="1:10" s="46" customFormat="1" ht="45" x14ac:dyDescent="0.25">
      <c r="A370" s="6">
        <v>1</v>
      </c>
      <c r="B370" s="52" t="s">
        <v>220</v>
      </c>
      <c r="C370" s="22"/>
      <c r="D370" s="42">
        <v>30500</v>
      </c>
      <c r="E370" s="51"/>
      <c r="F370" s="51"/>
      <c r="G370" s="51"/>
    </row>
    <row r="371" spans="1:10" s="46" customFormat="1" x14ac:dyDescent="0.25">
      <c r="A371" s="6">
        <v>1</v>
      </c>
      <c r="B371" s="52" t="s">
        <v>215</v>
      </c>
      <c r="C371" s="22"/>
      <c r="D371" s="42">
        <v>20100</v>
      </c>
      <c r="E371" s="51"/>
      <c r="F371" s="51"/>
      <c r="G371" s="51"/>
    </row>
    <row r="372" spans="1:10" s="46" customFormat="1" ht="31.5" customHeight="1" x14ac:dyDescent="0.25">
      <c r="A372" s="6">
        <v>1</v>
      </c>
      <c r="B372" s="48" t="s">
        <v>221</v>
      </c>
      <c r="C372" s="22"/>
      <c r="D372" s="3"/>
      <c r="E372" s="51"/>
      <c r="F372" s="51"/>
      <c r="G372" s="51"/>
    </row>
    <row r="373" spans="1:10" s="46" customFormat="1" ht="15.75" customHeight="1" x14ac:dyDescent="0.25">
      <c r="A373" s="6">
        <v>1</v>
      </c>
      <c r="B373" s="48" t="s">
        <v>222</v>
      </c>
      <c r="C373" s="22"/>
      <c r="D373" s="3"/>
      <c r="E373" s="51"/>
      <c r="F373" s="51"/>
      <c r="G373" s="51"/>
    </row>
    <row r="374" spans="1:10" s="46" customFormat="1" ht="15.75" customHeight="1" x14ac:dyDescent="0.25">
      <c r="A374" s="6">
        <v>1</v>
      </c>
      <c r="B374" s="23" t="s">
        <v>223</v>
      </c>
      <c r="C374" s="22"/>
      <c r="D374" s="3"/>
      <c r="E374" s="51"/>
      <c r="F374" s="51"/>
      <c r="G374" s="51"/>
    </row>
    <row r="375" spans="1:10" s="46" customFormat="1" x14ac:dyDescent="0.25">
      <c r="A375" s="6">
        <v>1</v>
      </c>
      <c r="B375" s="24" t="s">
        <v>118</v>
      </c>
      <c r="C375" s="47"/>
      <c r="D375" s="45">
        <v>2718</v>
      </c>
      <c r="E375" s="51"/>
      <c r="F375" s="51"/>
      <c r="G375" s="51"/>
    </row>
    <row r="376" spans="1:10" s="46" customFormat="1" x14ac:dyDescent="0.25">
      <c r="A376" s="6">
        <v>1</v>
      </c>
      <c r="B376" s="44" t="s">
        <v>150</v>
      </c>
      <c r="C376" s="47"/>
      <c r="D376" s="76"/>
      <c r="E376" s="51"/>
      <c r="F376" s="51"/>
      <c r="G376" s="51"/>
    </row>
    <row r="377" spans="1:10" s="20" customFormat="1" ht="30" x14ac:dyDescent="0.25">
      <c r="A377" s="6">
        <v>1</v>
      </c>
      <c r="B377" s="24" t="s">
        <v>119</v>
      </c>
      <c r="C377" s="207"/>
      <c r="D377" s="3">
        <f>21050-D379</f>
        <v>20950</v>
      </c>
      <c r="E377" s="3"/>
      <c r="F377" s="3"/>
      <c r="G377" s="3"/>
    </row>
    <row r="378" spans="1:10" s="46" customFormat="1" ht="15.75" customHeight="1" x14ac:dyDescent="0.25">
      <c r="A378" s="6">
        <v>1</v>
      </c>
      <c r="B378" s="24" t="s">
        <v>224</v>
      </c>
      <c r="C378" s="22"/>
      <c r="D378" s="3">
        <v>6050</v>
      </c>
      <c r="E378" s="51"/>
      <c r="F378" s="51"/>
      <c r="G378" s="51"/>
      <c r="H378" s="622"/>
    </row>
    <row r="379" spans="1:10" s="46" customFormat="1" ht="45" x14ac:dyDescent="0.25">
      <c r="A379" s="6">
        <v>1</v>
      </c>
      <c r="B379" s="24" t="s">
        <v>296</v>
      </c>
      <c r="C379" s="22"/>
      <c r="D379" s="3">
        <v>100</v>
      </c>
      <c r="E379" s="51"/>
      <c r="F379" s="51"/>
      <c r="G379" s="51"/>
    </row>
    <row r="380" spans="1:10" s="46" customFormat="1" x14ac:dyDescent="0.25">
      <c r="A380" s="6">
        <v>1</v>
      </c>
      <c r="B380" s="54" t="s">
        <v>152</v>
      </c>
      <c r="C380" s="22"/>
      <c r="D380" s="18">
        <f>D357+ROUND(D375*3.2,0)+D377+D379</f>
        <v>181752</v>
      </c>
      <c r="E380" s="51"/>
      <c r="F380" s="51"/>
      <c r="G380" s="51"/>
    </row>
    <row r="381" spans="1:10" s="46" customFormat="1" x14ac:dyDescent="0.25">
      <c r="A381" s="6">
        <v>1</v>
      </c>
      <c r="B381" s="55" t="s">
        <v>151</v>
      </c>
      <c r="C381" s="22"/>
      <c r="D381" s="18">
        <f>SUM(D355,D380)</f>
        <v>414784</v>
      </c>
      <c r="E381" s="51"/>
      <c r="F381" s="51"/>
      <c r="G381" s="51"/>
    </row>
    <row r="382" spans="1:10" s="46" customFormat="1" x14ac:dyDescent="0.25">
      <c r="A382" s="6">
        <v>1</v>
      </c>
      <c r="B382" s="449" t="s">
        <v>120</v>
      </c>
      <c r="C382" s="22"/>
      <c r="D382" s="202">
        <f>SUM(D383:D385)</f>
        <v>94700</v>
      </c>
      <c r="E382" s="280"/>
      <c r="F382" s="280"/>
      <c r="G382" s="280"/>
      <c r="J382" s="576"/>
    </row>
    <row r="383" spans="1:10" s="46" customFormat="1" x14ac:dyDescent="0.25">
      <c r="A383" s="6">
        <v>1</v>
      </c>
      <c r="B383" s="36" t="s">
        <v>276</v>
      </c>
      <c r="C383" s="22"/>
      <c r="D383" s="3">
        <v>26100</v>
      </c>
      <c r="E383" s="280"/>
      <c r="F383" s="280"/>
      <c r="G383" s="280"/>
      <c r="J383" s="576"/>
    </row>
    <row r="384" spans="1:10" s="46" customFormat="1" ht="30" x14ac:dyDescent="0.25">
      <c r="A384" s="6">
        <v>1</v>
      </c>
      <c r="B384" s="36" t="s">
        <v>236</v>
      </c>
      <c r="C384" s="22"/>
      <c r="D384" s="3">
        <v>7000</v>
      </c>
      <c r="E384" s="280"/>
      <c r="F384" s="280"/>
      <c r="G384" s="280"/>
      <c r="J384" s="576"/>
    </row>
    <row r="385" spans="1:72" s="46" customFormat="1" x14ac:dyDescent="0.25">
      <c r="A385" s="6">
        <v>1</v>
      </c>
      <c r="B385" s="36" t="s">
        <v>55</v>
      </c>
      <c r="C385" s="22"/>
      <c r="D385" s="3">
        <v>61600</v>
      </c>
      <c r="E385" s="280"/>
      <c r="F385" s="280"/>
      <c r="G385" s="280"/>
      <c r="J385" s="576"/>
    </row>
    <row r="386" spans="1:72" x14ac:dyDescent="0.25">
      <c r="A386" s="6">
        <v>1</v>
      </c>
      <c r="B386" s="34" t="s">
        <v>7</v>
      </c>
      <c r="C386" s="231"/>
      <c r="D386" s="3"/>
      <c r="E386" s="3"/>
      <c r="F386" s="3"/>
      <c r="G386" s="3"/>
      <c r="H386" s="20"/>
      <c r="I386" s="20"/>
      <c r="J386" s="577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  <c r="BI386" s="20"/>
      <c r="BJ386" s="20"/>
      <c r="BK386" s="20"/>
      <c r="BL386" s="20"/>
      <c r="BM386" s="20"/>
      <c r="BN386" s="20"/>
      <c r="BO386" s="20"/>
      <c r="BP386" s="20"/>
      <c r="BQ386" s="20"/>
      <c r="BR386" s="20"/>
      <c r="BS386" s="20"/>
      <c r="BT386" s="20"/>
    </row>
    <row r="387" spans="1:72" x14ac:dyDescent="0.25">
      <c r="A387" s="6">
        <v>1</v>
      </c>
      <c r="B387" s="43" t="s">
        <v>139</v>
      </c>
      <c r="C387" s="231"/>
      <c r="D387" s="3"/>
      <c r="E387" s="3"/>
      <c r="F387" s="3"/>
      <c r="G387" s="3"/>
      <c r="H387" s="20"/>
      <c r="I387" s="20"/>
      <c r="J387" s="577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  <c r="BI387" s="20"/>
      <c r="BJ387" s="20"/>
      <c r="BK387" s="20"/>
      <c r="BL387" s="20"/>
      <c r="BM387" s="20"/>
      <c r="BN387" s="20"/>
      <c r="BO387" s="20"/>
      <c r="BP387" s="20"/>
      <c r="BQ387" s="20"/>
      <c r="BR387" s="20"/>
      <c r="BS387" s="20"/>
      <c r="BT387" s="20"/>
    </row>
    <row r="388" spans="1:72" x14ac:dyDescent="0.25">
      <c r="A388" s="6">
        <v>1</v>
      </c>
      <c r="B388" s="29" t="s">
        <v>42</v>
      </c>
      <c r="C388" s="231">
        <v>300</v>
      </c>
      <c r="D388" s="3">
        <v>210</v>
      </c>
      <c r="E388" s="227">
        <v>10</v>
      </c>
      <c r="F388" s="3">
        <f>ROUND(G388/C388,0)</f>
        <v>7</v>
      </c>
      <c r="G388" s="3">
        <f>ROUND(D388*E388,0)</f>
        <v>2100</v>
      </c>
      <c r="H388" s="20"/>
      <c r="I388" s="20"/>
      <c r="J388" s="577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  <c r="BI388" s="20"/>
      <c r="BJ388" s="20"/>
      <c r="BK388" s="20"/>
      <c r="BL388" s="20"/>
      <c r="BM388" s="20"/>
      <c r="BN388" s="20"/>
      <c r="BO388" s="20"/>
      <c r="BP388" s="20"/>
      <c r="BQ388" s="20"/>
      <c r="BR388" s="20"/>
      <c r="BS388" s="20"/>
      <c r="BT388" s="20"/>
    </row>
    <row r="389" spans="1:72" x14ac:dyDescent="0.25">
      <c r="A389" s="6">
        <v>1</v>
      </c>
      <c r="B389" s="34" t="s">
        <v>9</v>
      </c>
      <c r="C389" s="231"/>
      <c r="D389" s="35">
        <f t="shared" ref="D389" si="26">D388</f>
        <v>210</v>
      </c>
      <c r="E389" s="537">
        <f t="shared" ref="E389:G389" si="27">E388</f>
        <v>10</v>
      </c>
      <c r="F389" s="35">
        <f t="shared" si="27"/>
        <v>7</v>
      </c>
      <c r="G389" s="35">
        <f t="shared" si="27"/>
        <v>2100</v>
      </c>
      <c r="H389" s="20"/>
      <c r="I389" s="20"/>
      <c r="J389" s="577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  <c r="BI389" s="20"/>
      <c r="BJ389" s="20"/>
      <c r="BK389" s="20"/>
      <c r="BL389" s="20"/>
      <c r="BM389" s="20"/>
      <c r="BN389" s="20"/>
      <c r="BO389" s="20"/>
      <c r="BP389" s="20"/>
      <c r="BQ389" s="20"/>
      <c r="BR389" s="20"/>
      <c r="BS389" s="20"/>
      <c r="BT389" s="20"/>
    </row>
    <row r="390" spans="1:72" x14ac:dyDescent="0.25">
      <c r="A390" s="6">
        <v>1</v>
      </c>
      <c r="B390" s="43" t="s">
        <v>20</v>
      </c>
      <c r="C390" s="231"/>
      <c r="D390" s="35"/>
      <c r="E390" s="537"/>
      <c r="F390" s="35"/>
      <c r="G390" s="35"/>
      <c r="H390" s="20"/>
      <c r="I390" s="20"/>
      <c r="J390" s="577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  <c r="BI390" s="20"/>
      <c r="BJ390" s="20"/>
      <c r="BK390" s="20"/>
      <c r="BL390" s="20"/>
      <c r="BM390" s="20"/>
      <c r="BN390" s="20"/>
      <c r="BO390" s="20"/>
      <c r="BP390" s="20"/>
      <c r="BQ390" s="20"/>
      <c r="BR390" s="20"/>
      <c r="BS390" s="20"/>
      <c r="BT390" s="20"/>
    </row>
    <row r="391" spans="1:72" x14ac:dyDescent="0.25">
      <c r="A391" s="6">
        <v>1</v>
      </c>
      <c r="B391" s="30" t="s">
        <v>26</v>
      </c>
      <c r="C391" s="231">
        <v>240</v>
      </c>
      <c r="D391" s="3">
        <v>740</v>
      </c>
      <c r="E391" s="227">
        <v>8</v>
      </c>
      <c r="F391" s="3">
        <f>ROUND(G391/C391,0)</f>
        <v>25</v>
      </c>
      <c r="G391" s="3">
        <f>ROUND(D391*E391,0)</f>
        <v>5920</v>
      </c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  <c r="BI391" s="20"/>
      <c r="BJ391" s="20"/>
      <c r="BK391" s="20"/>
      <c r="BL391" s="20"/>
      <c r="BM391" s="20"/>
      <c r="BN391" s="20"/>
      <c r="BO391" s="20"/>
      <c r="BP391" s="20"/>
      <c r="BQ391" s="20"/>
      <c r="BR391" s="20"/>
      <c r="BS391" s="20"/>
      <c r="BT391" s="20"/>
    </row>
    <row r="392" spans="1:72" x14ac:dyDescent="0.25">
      <c r="A392" s="6">
        <v>1</v>
      </c>
      <c r="B392" s="330" t="s">
        <v>11</v>
      </c>
      <c r="C392" s="231">
        <v>240</v>
      </c>
      <c r="D392" s="3">
        <v>101</v>
      </c>
      <c r="E392" s="227">
        <v>3</v>
      </c>
      <c r="F392" s="3">
        <f>ROUND(G392/C392,0)</f>
        <v>1</v>
      </c>
      <c r="G392" s="3">
        <f>ROUND(D392*E392,0)</f>
        <v>303</v>
      </c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  <c r="BI392" s="20"/>
      <c r="BJ392" s="20"/>
      <c r="BK392" s="20"/>
      <c r="BL392" s="20"/>
      <c r="BM392" s="20"/>
      <c r="BN392" s="20"/>
      <c r="BO392" s="20"/>
      <c r="BP392" s="20"/>
      <c r="BQ392" s="20"/>
      <c r="BR392" s="20"/>
      <c r="BS392" s="20"/>
      <c r="BT392" s="20"/>
    </row>
    <row r="393" spans="1:72" x14ac:dyDescent="0.25">
      <c r="A393" s="6">
        <v>1</v>
      </c>
      <c r="B393" s="572" t="s">
        <v>141</v>
      </c>
      <c r="C393" s="231"/>
      <c r="D393" s="35">
        <f>D391+D392</f>
        <v>841</v>
      </c>
      <c r="E393" s="17">
        <f t="shared" ref="E393:E394" si="28">G393/D393</f>
        <v>7.3995243757431632</v>
      </c>
      <c r="F393" s="35">
        <f>F391+F392</f>
        <v>26</v>
      </c>
      <c r="G393" s="35">
        <f>G391+G392</f>
        <v>6223</v>
      </c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  <c r="BI393" s="20"/>
      <c r="BJ393" s="20"/>
      <c r="BK393" s="20"/>
      <c r="BL393" s="20"/>
      <c r="BM393" s="20"/>
      <c r="BN393" s="20"/>
      <c r="BO393" s="20"/>
      <c r="BP393" s="20"/>
      <c r="BQ393" s="20"/>
      <c r="BR393" s="20"/>
      <c r="BS393" s="20"/>
      <c r="BT393" s="20"/>
    </row>
    <row r="394" spans="1:72" ht="19.5" customHeight="1" x14ac:dyDescent="0.25">
      <c r="A394" s="6">
        <v>1</v>
      </c>
      <c r="B394" s="31" t="s">
        <v>117</v>
      </c>
      <c r="C394" s="409"/>
      <c r="D394" s="18">
        <f>D389+D393</f>
        <v>1051</v>
      </c>
      <c r="E394" s="17">
        <f t="shared" si="28"/>
        <v>7.9191246431969553</v>
      </c>
      <c r="F394" s="18">
        <f>F389+F393</f>
        <v>33</v>
      </c>
      <c r="G394" s="18">
        <f>G389+G393</f>
        <v>8323</v>
      </c>
    </row>
    <row r="395" spans="1:72" s="20" customFormat="1" ht="15.75" thickBot="1" x14ac:dyDescent="0.3">
      <c r="A395" s="6">
        <v>1</v>
      </c>
      <c r="B395" s="578" t="s">
        <v>10</v>
      </c>
      <c r="C395" s="538"/>
      <c r="D395" s="579"/>
      <c r="E395" s="579"/>
      <c r="F395" s="579"/>
      <c r="G395" s="579"/>
    </row>
    <row r="396" spans="1:72" s="20" customFormat="1" ht="22.5" hidden="1" customHeight="1" x14ac:dyDescent="0.25">
      <c r="A396" s="6">
        <v>1</v>
      </c>
      <c r="B396" s="348" t="s">
        <v>192</v>
      </c>
      <c r="C396" s="262"/>
      <c r="D396" s="3"/>
      <c r="E396" s="3"/>
      <c r="F396" s="3"/>
      <c r="G396" s="3"/>
    </row>
    <row r="397" spans="1:72" s="20" customFormat="1" hidden="1" x14ac:dyDescent="0.25">
      <c r="A397" s="6">
        <v>1</v>
      </c>
      <c r="B397" s="21" t="s">
        <v>185</v>
      </c>
      <c r="C397" s="22"/>
      <c r="D397" s="3"/>
      <c r="E397" s="3"/>
      <c r="F397" s="3"/>
      <c r="G397" s="3"/>
    </row>
    <row r="398" spans="1:72" s="20" customFormat="1" ht="30" hidden="1" x14ac:dyDescent="0.25">
      <c r="A398" s="6">
        <v>1</v>
      </c>
      <c r="B398" s="23" t="s">
        <v>323</v>
      </c>
      <c r="C398" s="22"/>
      <c r="D398" s="3">
        <f>D400+D401+D402+D403+D399/2.7</f>
        <v>169144.40740740742</v>
      </c>
      <c r="E398" s="3"/>
      <c r="F398" s="3"/>
      <c r="G398" s="3"/>
    </row>
    <row r="399" spans="1:72" s="20" customFormat="1" hidden="1" x14ac:dyDescent="0.25">
      <c r="A399" s="6">
        <v>1</v>
      </c>
      <c r="B399" s="23" t="s">
        <v>286</v>
      </c>
      <c r="C399" s="28"/>
      <c r="D399" s="3">
        <v>1100</v>
      </c>
      <c r="E399" s="28"/>
      <c r="F399" s="28"/>
      <c r="G399" s="28"/>
    </row>
    <row r="400" spans="1:72" s="20" customFormat="1" hidden="1" x14ac:dyDescent="0.25">
      <c r="A400" s="6">
        <v>1</v>
      </c>
      <c r="B400" s="350" t="s">
        <v>206</v>
      </c>
      <c r="C400" s="22"/>
      <c r="D400" s="580">
        <v>15000</v>
      </c>
      <c r="E400" s="3"/>
      <c r="F400" s="3"/>
      <c r="G400" s="3"/>
    </row>
    <row r="401" spans="1:72" s="20" customFormat="1" ht="34.5" hidden="1" customHeight="1" x14ac:dyDescent="0.25">
      <c r="A401" s="6">
        <v>1</v>
      </c>
      <c r="B401" s="581" t="s">
        <v>221</v>
      </c>
      <c r="C401" s="22"/>
      <c r="D401" s="580">
        <v>49000</v>
      </c>
      <c r="E401" s="3"/>
      <c r="F401" s="3"/>
      <c r="G401" s="3"/>
    </row>
    <row r="402" spans="1:72" s="20" customFormat="1" ht="30" hidden="1" x14ac:dyDescent="0.25">
      <c r="A402" s="6">
        <v>1</v>
      </c>
      <c r="B402" s="350" t="s">
        <v>222</v>
      </c>
      <c r="C402" s="22"/>
      <c r="D402" s="580">
        <v>22470</v>
      </c>
      <c r="E402" s="3"/>
      <c r="F402" s="3"/>
      <c r="G402" s="3"/>
    </row>
    <row r="403" spans="1:72" s="20" customFormat="1" hidden="1" x14ac:dyDescent="0.25">
      <c r="A403" s="6">
        <v>1</v>
      </c>
      <c r="B403" s="350" t="s">
        <v>223</v>
      </c>
      <c r="C403" s="22"/>
      <c r="D403" s="580">
        <v>82267</v>
      </c>
      <c r="E403" s="3"/>
      <c r="F403" s="3"/>
      <c r="G403" s="3"/>
    </row>
    <row r="404" spans="1:72" hidden="1" x14ac:dyDescent="0.25">
      <c r="A404" s="6">
        <v>1</v>
      </c>
      <c r="B404" s="24" t="s">
        <v>118</v>
      </c>
      <c r="C404" s="22"/>
      <c r="D404" s="3">
        <f>D405+D406</f>
        <v>9000.4705882352937</v>
      </c>
      <c r="E404" s="3"/>
      <c r="F404" s="3"/>
      <c r="G404" s="3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  <c r="BI404" s="20"/>
      <c r="BJ404" s="20"/>
      <c r="BK404" s="20"/>
      <c r="BL404" s="20"/>
      <c r="BM404" s="20"/>
      <c r="BN404" s="20"/>
      <c r="BO404" s="20"/>
      <c r="BP404" s="20"/>
      <c r="BQ404" s="20"/>
      <c r="BR404" s="20"/>
      <c r="BS404" s="20"/>
      <c r="BT404" s="20"/>
    </row>
    <row r="405" spans="1:72" hidden="1" x14ac:dyDescent="0.25">
      <c r="A405" s="6">
        <v>1</v>
      </c>
      <c r="B405" s="24" t="s">
        <v>259</v>
      </c>
      <c r="C405" s="22"/>
      <c r="D405" s="3">
        <v>8024</v>
      </c>
      <c r="E405" s="3"/>
      <c r="F405" s="3"/>
      <c r="G405" s="3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</row>
    <row r="406" spans="1:72" hidden="1" x14ac:dyDescent="0.25">
      <c r="A406" s="6">
        <v>1</v>
      </c>
      <c r="B406" s="24" t="s">
        <v>261</v>
      </c>
      <c r="C406" s="22"/>
      <c r="D406" s="13">
        <f>D407/8.5</f>
        <v>976.47058823529414</v>
      </c>
      <c r="E406" s="3"/>
      <c r="F406" s="3"/>
      <c r="G406" s="3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  <c r="BI406" s="20"/>
      <c r="BJ406" s="20"/>
      <c r="BK406" s="20"/>
      <c r="BL406" s="20"/>
      <c r="BM406" s="20"/>
      <c r="BN406" s="20"/>
      <c r="BO406" s="20"/>
      <c r="BP406" s="20"/>
      <c r="BQ406" s="20"/>
      <c r="BR406" s="20"/>
      <c r="BS406" s="20"/>
      <c r="BT406" s="20"/>
    </row>
    <row r="407" spans="1:72" hidden="1" x14ac:dyDescent="0.25">
      <c r="A407" s="6">
        <v>1</v>
      </c>
      <c r="B407" s="44" t="s">
        <v>260</v>
      </c>
      <c r="C407" s="22"/>
      <c r="D407" s="3">
        <v>8300</v>
      </c>
      <c r="E407" s="3"/>
      <c r="F407" s="3"/>
      <c r="G407" s="3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  <c r="BI407" s="20"/>
      <c r="BJ407" s="20"/>
      <c r="BK407" s="20"/>
      <c r="BL407" s="20"/>
      <c r="BM407" s="20"/>
      <c r="BN407" s="20"/>
      <c r="BO407" s="20"/>
      <c r="BP407" s="20"/>
      <c r="BQ407" s="20"/>
      <c r="BR407" s="20"/>
      <c r="BS407" s="20"/>
      <c r="BT407" s="20"/>
    </row>
    <row r="408" spans="1:72" ht="30" hidden="1" x14ac:dyDescent="0.25">
      <c r="A408" s="6">
        <v>1</v>
      </c>
      <c r="B408" s="24" t="s">
        <v>119</v>
      </c>
      <c r="C408" s="22"/>
      <c r="D408" s="3"/>
      <c r="E408" s="3"/>
      <c r="F408" s="3"/>
      <c r="G408" s="3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  <c r="BI408" s="20"/>
      <c r="BJ408" s="20"/>
      <c r="BK408" s="20"/>
      <c r="BL408" s="20"/>
      <c r="BM408" s="20"/>
      <c r="BN408" s="20"/>
      <c r="BO408" s="20"/>
      <c r="BP408" s="20"/>
      <c r="BQ408" s="20"/>
      <c r="BR408" s="20"/>
      <c r="BS408" s="20"/>
      <c r="BT408" s="20"/>
    </row>
    <row r="409" spans="1:72" s="20" customFormat="1" hidden="1" x14ac:dyDescent="0.25">
      <c r="A409" s="6">
        <v>1</v>
      </c>
      <c r="B409" s="365" t="s">
        <v>151</v>
      </c>
      <c r="C409" s="22"/>
      <c r="D409" s="18">
        <f>D398+ROUND(D405*2.1,0)+D408+D407/3.9</f>
        <v>188122.61253561254</v>
      </c>
      <c r="E409" s="3"/>
      <c r="F409" s="3"/>
      <c r="G409" s="3"/>
    </row>
    <row r="410" spans="1:72" s="20" customFormat="1" hidden="1" x14ac:dyDescent="0.25">
      <c r="A410" s="6">
        <v>1</v>
      </c>
      <c r="B410" s="97" t="s">
        <v>120</v>
      </c>
      <c r="C410" s="38"/>
      <c r="D410" s="189">
        <f>SUM(D411:D445)</f>
        <v>450225</v>
      </c>
      <c r="E410" s="38"/>
      <c r="F410" s="38"/>
      <c r="G410" s="38"/>
    </row>
    <row r="411" spans="1:72" s="20" customFormat="1" ht="30" hidden="1" x14ac:dyDescent="0.25">
      <c r="A411" s="6">
        <v>1</v>
      </c>
      <c r="B411" s="453" t="s">
        <v>233</v>
      </c>
      <c r="C411" s="38"/>
      <c r="D411" s="13">
        <v>140000</v>
      </c>
      <c r="E411" s="38"/>
      <c r="F411" s="38"/>
      <c r="G411" s="38"/>
    </row>
    <row r="412" spans="1:72" s="20" customFormat="1" ht="30" hidden="1" x14ac:dyDescent="0.25">
      <c r="A412" s="6">
        <v>1</v>
      </c>
      <c r="B412" s="453" t="s">
        <v>234</v>
      </c>
      <c r="C412" s="38"/>
      <c r="D412" s="13">
        <v>6800</v>
      </c>
      <c r="E412" s="38"/>
      <c r="F412" s="38"/>
      <c r="G412" s="38"/>
    </row>
    <row r="413" spans="1:72" s="20" customFormat="1" hidden="1" x14ac:dyDescent="0.25">
      <c r="A413" s="6">
        <v>1</v>
      </c>
      <c r="B413" s="453" t="s">
        <v>244</v>
      </c>
      <c r="C413" s="38"/>
      <c r="D413" s="13">
        <v>950</v>
      </c>
      <c r="E413" s="38"/>
      <c r="F413" s="38"/>
      <c r="G413" s="38"/>
    </row>
    <row r="414" spans="1:72" s="20" customFormat="1" hidden="1" x14ac:dyDescent="0.25">
      <c r="A414" s="6">
        <v>1</v>
      </c>
      <c r="B414" s="453" t="s">
        <v>304</v>
      </c>
      <c r="C414" s="38"/>
      <c r="D414" s="13">
        <v>850</v>
      </c>
      <c r="E414" s="38"/>
      <c r="F414" s="38"/>
      <c r="G414" s="38"/>
    </row>
    <row r="415" spans="1:72" s="20" customFormat="1" ht="30" hidden="1" x14ac:dyDescent="0.25">
      <c r="A415" s="6">
        <v>1</v>
      </c>
      <c r="B415" s="453" t="s">
        <v>245</v>
      </c>
      <c r="C415" s="38"/>
      <c r="D415" s="13">
        <v>16000</v>
      </c>
      <c r="E415" s="38"/>
      <c r="F415" s="38"/>
      <c r="G415" s="38"/>
    </row>
    <row r="416" spans="1:72" s="20" customFormat="1" hidden="1" x14ac:dyDescent="0.25">
      <c r="A416" s="6">
        <v>1</v>
      </c>
      <c r="B416" s="453" t="s">
        <v>55</v>
      </c>
      <c r="C416" s="38"/>
      <c r="D416" s="13">
        <v>75000</v>
      </c>
      <c r="E416" s="38"/>
      <c r="F416" s="38"/>
      <c r="G416" s="38"/>
    </row>
    <row r="417" spans="1:7" s="20" customFormat="1" hidden="1" x14ac:dyDescent="0.25">
      <c r="A417" s="6">
        <v>1</v>
      </c>
      <c r="B417" s="453" t="s">
        <v>64</v>
      </c>
      <c r="C417" s="38"/>
      <c r="D417" s="13">
        <v>45</v>
      </c>
      <c r="E417" s="38"/>
      <c r="F417" s="38"/>
      <c r="G417" s="38"/>
    </row>
    <row r="418" spans="1:7" s="20" customFormat="1" hidden="1" x14ac:dyDescent="0.25">
      <c r="A418" s="6">
        <v>1</v>
      </c>
      <c r="B418" s="453" t="s">
        <v>19</v>
      </c>
      <c r="C418" s="38"/>
      <c r="D418" s="13">
        <v>3200</v>
      </c>
      <c r="E418" s="38"/>
      <c r="F418" s="38"/>
      <c r="G418" s="38"/>
    </row>
    <row r="419" spans="1:7" s="20" customFormat="1" ht="30" hidden="1" x14ac:dyDescent="0.25">
      <c r="A419" s="6">
        <v>1</v>
      </c>
      <c r="B419" s="453" t="s">
        <v>162</v>
      </c>
      <c r="C419" s="38"/>
      <c r="D419" s="13">
        <v>900</v>
      </c>
      <c r="E419" s="38"/>
      <c r="F419" s="38"/>
      <c r="G419" s="38"/>
    </row>
    <row r="420" spans="1:7" s="20" customFormat="1" hidden="1" x14ac:dyDescent="0.25">
      <c r="A420" s="6">
        <v>1</v>
      </c>
      <c r="B420" s="210" t="s">
        <v>269</v>
      </c>
      <c r="C420" s="38"/>
      <c r="D420" s="13">
        <v>70000</v>
      </c>
      <c r="E420" s="38"/>
      <c r="F420" s="38"/>
      <c r="G420" s="38"/>
    </row>
    <row r="421" spans="1:7" s="20" customFormat="1" hidden="1" x14ac:dyDescent="0.25">
      <c r="A421" s="6">
        <v>1</v>
      </c>
      <c r="B421" s="453" t="s">
        <v>253</v>
      </c>
      <c r="C421" s="38"/>
      <c r="D421" s="13">
        <v>400</v>
      </c>
      <c r="E421" s="38"/>
      <c r="F421" s="38"/>
      <c r="G421" s="38"/>
    </row>
    <row r="422" spans="1:7" s="20" customFormat="1" ht="30" hidden="1" x14ac:dyDescent="0.25">
      <c r="A422" s="6">
        <v>1</v>
      </c>
      <c r="B422" s="453" t="s">
        <v>237</v>
      </c>
      <c r="C422" s="38"/>
      <c r="D422" s="13">
        <v>1200</v>
      </c>
      <c r="E422" s="38"/>
      <c r="F422" s="38"/>
      <c r="G422" s="38"/>
    </row>
    <row r="423" spans="1:7" s="20" customFormat="1" ht="30" hidden="1" x14ac:dyDescent="0.25">
      <c r="A423" s="6">
        <v>1</v>
      </c>
      <c r="B423" s="453" t="s">
        <v>246</v>
      </c>
      <c r="C423" s="38"/>
      <c r="D423" s="13">
        <v>5800</v>
      </c>
      <c r="E423" s="38"/>
      <c r="F423" s="38"/>
      <c r="G423" s="38"/>
    </row>
    <row r="424" spans="1:7" s="20" customFormat="1" hidden="1" x14ac:dyDescent="0.25">
      <c r="A424" s="6">
        <v>1</v>
      </c>
      <c r="B424" s="453" t="s">
        <v>232</v>
      </c>
      <c r="C424" s="38"/>
      <c r="D424" s="13">
        <v>400</v>
      </c>
      <c r="E424" s="38"/>
      <c r="F424" s="38"/>
      <c r="G424" s="38"/>
    </row>
    <row r="425" spans="1:7" s="20" customFormat="1" hidden="1" x14ac:dyDescent="0.25">
      <c r="A425" s="6">
        <v>1</v>
      </c>
      <c r="B425" s="453" t="s">
        <v>163</v>
      </c>
      <c r="C425" s="38"/>
      <c r="D425" s="13">
        <v>1500</v>
      </c>
      <c r="E425" s="38"/>
      <c r="F425" s="38"/>
      <c r="G425" s="38"/>
    </row>
    <row r="426" spans="1:7" s="20" customFormat="1" hidden="1" x14ac:dyDescent="0.25">
      <c r="A426" s="6">
        <v>1</v>
      </c>
      <c r="B426" s="453" t="s">
        <v>254</v>
      </c>
      <c r="C426" s="38"/>
      <c r="D426" s="13">
        <v>100</v>
      </c>
      <c r="E426" s="38"/>
      <c r="F426" s="38"/>
      <c r="G426" s="38"/>
    </row>
    <row r="427" spans="1:7" s="20" customFormat="1" hidden="1" x14ac:dyDescent="0.25">
      <c r="A427" s="6">
        <v>1</v>
      </c>
      <c r="B427" s="453" t="s">
        <v>52</v>
      </c>
      <c r="C427" s="38"/>
      <c r="D427" s="13">
        <v>12000</v>
      </c>
      <c r="E427" s="38"/>
      <c r="F427" s="38"/>
      <c r="G427" s="38"/>
    </row>
    <row r="428" spans="1:7" s="20" customFormat="1" hidden="1" x14ac:dyDescent="0.25">
      <c r="A428" s="6">
        <v>1</v>
      </c>
      <c r="B428" s="453" t="s">
        <v>247</v>
      </c>
      <c r="C428" s="38"/>
      <c r="D428" s="13">
        <v>4270</v>
      </c>
      <c r="E428" s="38"/>
      <c r="F428" s="38"/>
      <c r="G428" s="38"/>
    </row>
    <row r="429" spans="1:7" s="20" customFormat="1" hidden="1" x14ac:dyDescent="0.25">
      <c r="A429" s="6">
        <v>1</v>
      </c>
      <c r="B429" s="453" t="s">
        <v>56</v>
      </c>
      <c r="C429" s="38"/>
      <c r="D429" s="13">
        <v>2600</v>
      </c>
      <c r="E429" s="38"/>
      <c r="F429" s="38"/>
      <c r="G429" s="38"/>
    </row>
    <row r="430" spans="1:7" s="20" customFormat="1" hidden="1" x14ac:dyDescent="0.25">
      <c r="A430" s="6">
        <v>1</v>
      </c>
      <c r="B430" s="453" t="s">
        <v>54</v>
      </c>
      <c r="C430" s="38"/>
      <c r="D430" s="13">
        <v>3070</v>
      </c>
      <c r="E430" s="38"/>
      <c r="F430" s="38"/>
      <c r="G430" s="38"/>
    </row>
    <row r="431" spans="1:7" s="20" customFormat="1" ht="30" hidden="1" x14ac:dyDescent="0.25">
      <c r="A431" s="6">
        <v>1</v>
      </c>
      <c r="B431" s="453" t="s">
        <v>164</v>
      </c>
      <c r="C431" s="38"/>
      <c r="D431" s="13">
        <v>1200</v>
      </c>
      <c r="E431" s="38"/>
      <c r="F431" s="38"/>
      <c r="G431" s="38"/>
    </row>
    <row r="432" spans="1:7" s="20" customFormat="1" hidden="1" x14ac:dyDescent="0.25">
      <c r="A432" s="6">
        <v>1</v>
      </c>
      <c r="B432" s="453" t="s">
        <v>18</v>
      </c>
      <c r="C432" s="38"/>
      <c r="D432" s="13">
        <v>8700</v>
      </c>
      <c r="E432" s="38"/>
      <c r="F432" s="38"/>
      <c r="G432" s="38"/>
    </row>
    <row r="433" spans="1:72" s="20" customFormat="1" hidden="1" x14ac:dyDescent="0.25">
      <c r="A433" s="6">
        <v>1</v>
      </c>
      <c r="B433" s="453" t="s">
        <v>160</v>
      </c>
      <c r="C433" s="38"/>
      <c r="D433" s="13">
        <v>25000</v>
      </c>
      <c r="E433" s="38"/>
      <c r="F433" s="38"/>
      <c r="G433" s="38"/>
    </row>
    <row r="434" spans="1:72" s="20" customFormat="1" hidden="1" x14ac:dyDescent="0.25">
      <c r="A434" s="6">
        <v>1</v>
      </c>
      <c r="B434" s="453" t="s">
        <v>248</v>
      </c>
      <c r="C434" s="38"/>
      <c r="D434" s="13">
        <v>55</v>
      </c>
      <c r="E434" s="38"/>
      <c r="F434" s="38"/>
      <c r="G434" s="38"/>
    </row>
    <row r="435" spans="1:72" s="20" customFormat="1" hidden="1" x14ac:dyDescent="0.25">
      <c r="A435" s="6">
        <v>1</v>
      </c>
      <c r="B435" s="453" t="s">
        <v>33</v>
      </c>
      <c r="C435" s="38"/>
      <c r="D435" s="13">
        <v>30000</v>
      </c>
      <c r="E435" s="38"/>
      <c r="F435" s="38"/>
      <c r="G435" s="38"/>
    </row>
    <row r="436" spans="1:72" s="20" customFormat="1" hidden="1" x14ac:dyDescent="0.25">
      <c r="A436" s="6">
        <v>1</v>
      </c>
      <c r="B436" s="453" t="s">
        <v>16</v>
      </c>
      <c r="C436" s="38"/>
      <c r="D436" s="13">
        <v>2700</v>
      </c>
      <c r="E436" s="38"/>
      <c r="F436" s="38"/>
      <c r="G436" s="38"/>
    </row>
    <row r="437" spans="1:72" s="20" customFormat="1" hidden="1" x14ac:dyDescent="0.25">
      <c r="A437" s="6">
        <v>1</v>
      </c>
      <c r="B437" s="582" t="s">
        <v>29</v>
      </c>
      <c r="C437" s="38"/>
      <c r="D437" s="13">
        <v>6000</v>
      </c>
      <c r="E437" s="38"/>
      <c r="F437" s="38"/>
      <c r="G437" s="38"/>
    </row>
    <row r="438" spans="1:72" s="20" customFormat="1" hidden="1" x14ac:dyDescent="0.25">
      <c r="A438" s="6">
        <v>1</v>
      </c>
      <c r="B438" s="453" t="s">
        <v>255</v>
      </c>
      <c r="C438" s="38"/>
      <c r="D438" s="13">
        <v>100</v>
      </c>
      <c r="E438" s="38"/>
      <c r="F438" s="38"/>
      <c r="G438" s="38"/>
    </row>
    <row r="439" spans="1:72" s="20" customFormat="1" hidden="1" x14ac:dyDescent="0.25">
      <c r="A439" s="6">
        <v>1</v>
      </c>
      <c r="B439" s="453" t="s">
        <v>53</v>
      </c>
      <c r="C439" s="38"/>
      <c r="D439" s="13">
        <v>16500</v>
      </c>
      <c r="E439" s="38"/>
      <c r="F439" s="38"/>
      <c r="G439" s="38"/>
    </row>
    <row r="440" spans="1:72" s="20" customFormat="1" hidden="1" x14ac:dyDescent="0.25">
      <c r="A440" s="6">
        <v>1</v>
      </c>
      <c r="B440" s="453" t="s">
        <v>249</v>
      </c>
      <c r="C440" s="38"/>
      <c r="D440" s="13">
        <v>700</v>
      </c>
      <c r="E440" s="38"/>
      <c r="F440" s="38"/>
      <c r="G440" s="38"/>
    </row>
    <row r="441" spans="1:72" s="20" customFormat="1" hidden="1" x14ac:dyDescent="0.25">
      <c r="A441" s="6">
        <v>1</v>
      </c>
      <c r="B441" s="453" t="s">
        <v>231</v>
      </c>
      <c r="C441" s="38"/>
      <c r="D441" s="13">
        <v>350</v>
      </c>
      <c r="E441" s="38"/>
      <c r="F441" s="38"/>
      <c r="G441" s="38"/>
    </row>
    <row r="442" spans="1:72" s="20" customFormat="1" hidden="1" x14ac:dyDescent="0.25">
      <c r="A442" s="6">
        <v>1</v>
      </c>
      <c r="B442" s="453" t="s">
        <v>161</v>
      </c>
      <c r="C442" s="38"/>
      <c r="D442" s="13">
        <v>3600</v>
      </c>
      <c r="E442" s="38"/>
      <c r="F442" s="38"/>
      <c r="G442" s="38"/>
    </row>
    <row r="443" spans="1:72" s="20" customFormat="1" hidden="1" x14ac:dyDescent="0.25">
      <c r="A443" s="6">
        <v>1</v>
      </c>
      <c r="B443" s="453" t="s">
        <v>228</v>
      </c>
      <c r="C443" s="38"/>
      <c r="D443" s="13">
        <v>9950</v>
      </c>
      <c r="E443" s="38"/>
      <c r="F443" s="38"/>
      <c r="G443" s="38"/>
    </row>
    <row r="444" spans="1:72" s="20" customFormat="1" ht="60" hidden="1" x14ac:dyDescent="0.25">
      <c r="A444" s="6">
        <v>1</v>
      </c>
      <c r="B444" s="453" t="s">
        <v>288</v>
      </c>
      <c r="C444" s="38"/>
      <c r="D444" s="99">
        <v>205</v>
      </c>
      <c r="E444" s="38"/>
      <c r="F444" s="38"/>
      <c r="G444" s="38"/>
    </row>
    <row r="445" spans="1:72" s="20" customFormat="1" ht="60" hidden="1" x14ac:dyDescent="0.25">
      <c r="A445" s="6">
        <v>1</v>
      </c>
      <c r="B445" s="583" t="s">
        <v>287</v>
      </c>
      <c r="C445" s="584"/>
      <c r="D445" s="585">
        <v>80</v>
      </c>
      <c r="E445" s="584"/>
      <c r="F445" s="584"/>
      <c r="G445" s="584"/>
    </row>
    <row r="446" spans="1:72" ht="15.75" hidden="1" thickBot="1" x14ac:dyDescent="0.3">
      <c r="A446" s="6">
        <v>1</v>
      </c>
      <c r="B446" s="578" t="s">
        <v>10</v>
      </c>
      <c r="C446" s="579"/>
      <c r="D446" s="579"/>
      <c r="E446" s="579"/>
      <c r="F446" s="579"/>
      <c r="G446" s="579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  <c r="BI446" s="20"/>
      <c r="BJ446" s="20"/>
      <c r="BK446" s="20"/>
      <c r="BL446" s="20"/>
      <c r="BM446" s="20"/>
      <c r="BN446" s="20"/>
      <c r="BO446" s="20"/>
      <c r="BP446" s="20"/>
      <c r="BQ446" s="20"/>
      <c r="BR446" s="20"/>
      <c r="BS446" s="20"/>
      <c r="BT446" s="20"/>
    </row>
    <row r="447" spans="1:72" hidden="1" x14ac:dyDescent="0.25">
      <c r="A447" s="6">
        <v>1</v>
      </c>
      <c r="B447" s="472"/>
      <c r="C447" s="586"/>
      <c r="D447" s="574"/>
      <c r="E447" s="586"/>
      <c r="F447" s="586"/>
      <c r="G447" s="586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  <c r="BI447" s="20"/>
      <c r="BJ447" s="20"/>
      <c r="BK447" s="20"/>
      <c r="BL447" s="20"/>
      <c r="BM447" s="20"/>
      <c r="BN447" s="20"/>
      <c r="BO447" s="20"/>
      <c r="BP447" s="20"/>
      <c r="BQ447" s="20"/>
      <c r="BR447" s="20"/>
      <c r="BS447" s="20"/>
      <c r="BT447" s="20"/>
    </row>
    <row r="448" spans="1:72" ht="21.75" hidden="1" customHeight="1" x14ac:dyDescent="0.25">
      <c r="A448" s="6">
        <v>1</v>
      </c>
      <c r="B448" s="553" t="s">
        <v>193</v>
      </c>
      <c r="C448" s="409"/>
      <c r="D448" s="3"/>
      <c r="E448" s="274"/>
      <c r="F448" s="274"/>
      <c r="G448" s="274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  <c r="BI448" s="20"/>
      <c r="BJ448" s="20"/>
      <c r="BK448" s="20"/>
      <c r="BL448" s="20"/>
      <c r="BM448" s="20"/>
      <c r="BN448" s="20"/>
      <c r="BO448" s="20"/>
      <c r="BP448" s="20"/>
      <c r="BQ448" s="20"/>
      <c r="BR448" s="20"/>
      <c r="BS448" s="20"/>
      <c r="BT448" s="20"/>
    </row>
    <row r="449" spans="1:72" s="46" customFormat="1" ht="18.75" hidden="1" customHeight="1" x14ac:dyDescent="0.25">
      <c r="A449" s="6">
        <v>1</v>
      </c>
      <c r="B449" s="21" t="s">
        <v>205</v>
      </c>
      <c r="C449" s="21"/>
      <c r="D449" s="74"/>
      <c r="E449" s="45"/>
      <c r="F449" s="45"/>
      <c r="G449" s="45"/>
    </row>
    <row r="450" spans="1:72" s="46" customFormat="1" ht="30" hidden="1" x14ac:dyDescent="0.25">
      <c r="A450" s="6">
        <v>1</v>
      </c>
      <c r="B450" s="23" t="s">
        <v>323</v>
      </c>
      <c r="C450" s="47"/>
      <c r="D450" s="45">
        <f>SUM(D451,D452,D453,D454)</f>
        <v>26000</v>
      </c>
      <c r="E450" s="45"/>
      <c r="F450" s="45"/>
      <c r="G450" s="45"/>
    </row>
    <row r="451" spans="1:72" s="46" customFormat="1" hidden="1" x14ac:dyDescent="0.25">
      <c r="A451" s="6">
        <v>1</v>
      </c>
      <c r="B451" s="48" t="s">
        <v>206</v>
      </c>
      <c r="C451" s="47"/>
      <c r="D451" s="45"/>
      <c r="E451" s="45"/>
      <c r="F451" s="45"/>
      <c r="G451" s="45"/>
    </row>
    <row r="452" spans="1:72" s="46" customFormat="1" ht="37.5" hidden="1" customHeight="1" x14ac:dyDescent="0.25">
      <c r="A452" s="6">
        <v>1</v>
      </c>
      <c r="B452" s="48" t="s">
        <v>207</v>
      </c>
      <c r="C452" s="47"/>
      <c r="D452" s="3">
        <v>20000</v>
      </c>
      <c r="E452" s="45"/>
      <c r="F452" s="45"/>
      <c r="G452" s="45"/>
    </row>
    <row r="453" spans="1:72" s="46" customFormat="1" ht="30" hidden="1" x14ac:dyDescent="0.25">
      <c r="A453" s="6">
        <v>1</v>
      </c>
      <c r="B453" s="48" t="s">
        <v>208</v>
      </c>
      <c r="C453" s="47"/>
      <c r="D453" s="3"/>
      <c r="E453" s="45"/>
      <c r="F453" s="45"/>
      <c r="G453" s="45"/>
    </row>
    <row r="454" spans="1:72" s="46" customFormat="1" hidden="1" x14ac:dyDescent="0.25">
      <c r="A454" s="6">
        <v>1</v>
      </c>
      <c r="B454" s="23" t="s">
        <v>209</v>
      </c>
      <c r="C454" s="47"/>
      <c r="D454" s="3">
        <v>6000</v>
      </c>
      <c r="E454" s="45"/>
      <c r="F454" s="45"/>
      <c r="G454" s="45"/>
    </row>
    <row r="455" spans="1:72" s="46" customFormat="1" ht="45" hidden="1" x14ac:dyDescent="0.25">
      <c r="A455" s="6">
        <v>1</v>
      </c>
      <c r="B455" s="23" t="s">
        <v>285</v>
      </c>
      <c r="C455" s="47"/>
      <c r="D455" s="13">
        <v>586</v>
      </c>
      <c r="E455" s="45"/>
      <c r="F455" s="45"/>
      <c r="G455" s="45"/>
      <c r="H455" s="75"/>
    </row>
    <row r="456" spans="1:72" hidden="1" x14ac:dyDescent="0.25">
      <c r="A456" s="6">
        <v>1</v>
      </c>
      <c r="B456" s="24" t="s">
        <v>118</v>
      </c>
      <c r="C456" s="22"/>
      <c r="D456" s="3">
        <v>25000</v>
      </c>
      <c r="E456" s="3"/>
      <c r="F456" s="3"/>
      <c r="G456" s="3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  <c r="BI456" s="20"/>
      <c r="BJ456" s="20"/>
      <c r="BK456" s="20"/>
      <c r="BL456" s="20"/>
      <c r="BM456" s="20"/>
      <c r="BN456" s="20"/>
      <c r="BO456" s="20"/>
      <c r="BP456" s="20"/>
      <c r="BQ456" s="20"/>
      <c r="BR456" s="20"/>
      <c r="BS456" s="20"/>
      <c r="BT456" s="20"/>
    </row>
    <row r="457" spans="1:72" s="46" customFormat="1" hidden="1" x14ac:dyDescent="0.25">
      <c r="A457" s="6">
        <v>1</v>
      </c>
      <c r="B457" s="44" t="s">
        <v>150</v>
      </c>
      <c r="C457" s="262"/>
      <c r="D457" s="3"/>
      <c r="E457" s="45"/>
      <c r="F457" s="45"/>
      <c r="G457" s="45"/>
    </row>
    <row r="458" spans="1:72" s="46" customFormat="1" ht="15.75" hidden="1" customHeight="1" x14ac:dyDescent="0.25">
      <c r="A458" s="6">
        <v>1</v>
      </c>
      <c r="B458" s="49" t="s">
        <v>210</v>
      </c>
      <c r="C458" s="50"/>
      <c r="D458" s="47">
        <f>D450+ROUND(D456*3.2,0)</f>
        <v>106000</v>
      </c>
      <c r="E458" s="51"/>
      <c r="F458" s="51"/>
      <c r="G458" s="51"/>
    </row>
    <row r="459" spans="1:72" s="46" customFormat="1" ht="15.75" hidden="1" customHeight="1" x14ac:dyDescent="0.25">
      <c r="A459" s="6">
        <v>1</v>
      </c>
      <c r="B459" s="21" t="s">
        <v>153</v>
      </c>
      <c r="C459" s="22"/>
      <c r="D459" s="3"/>
      <c r="E459" s="51"/>
      <c r="F459" s="51"/>
      <c r="G459" s="51"/>
    </row>
    <row r="460" spans="1:72" s="46" customFormat="1" ht="30" hidden="1" customHeight="1" x14ac:dyDescent="0.25">
      <c r="A460" s="6">
        <v>1</v>
      </c>
      <c r="B460" s="23" t="s">
        <v>323</v>
      </c>
      <c r="C460" s="22"/>
      <c r="D460" s="3">
        <f>SUM(D461,D462,D469,D475,D476,D477)</f>
        <v>10102</v>
      </c>
      <c r="E460" s="51"/>
      <c r="F460" s="51"/>
      <c r="G460" s="51"/>
    </row>
    <row r="461" spans="1:72" s="46" customFormat="1" ht="15.75" hidden="1" customHeight="1" x14ac:dyDescent="0.25">
      <c r="A461" s="6">
        <v>1</v>
      </c>
      <c r="B461" s="23" t="s">
        <v>206</v>
      </c>
      <c r="C461" s="22"/>
      <c r="D461" s="3"/>
      <c r="E461" s="51"/>
      <c r="F461" s="51"/>
      <c r="G461" s="51"/>
    </row>
    <row r="462" spans="1:72" s="46" customFormat="1" ht="15.75" hidden="1" customHeight="1" x14ac:dyDescent="0.25">
      <c r="A462" s="6">
        <v>1</v>
      </c>
      <c r="B462" s="48" t="s">
        <v>211</v>
      </c>
      <c r="C462" s="22"/>
      <c r="D462" s="3">
        <f>D463+D464+D465+D467</f>
        <v>6273</v>
      </c>
      <c r="E462" s="51"/>
      <c r="F462" s="51"/>
      <c r="G462" s="51"/>
    </row>
    <row r="463" spans="1:72" s="46" customFormat="1" ht="19.5" hidden="1" customHeight="1" x14ac:dyDescent="0.25">
      <c r="A463" s="6">
        <v>1</v>
      </c>
      <c r="B463" s="52" t="s">
        <v>212</v>
      </c>
      <c r="C463" s="22"/>
      <c r="D463" s="45">
        <f>5102-300</f>
        <v>4802</v>
      </c>
      <c r="E463" s="51"/>
      <c r="F463" s="51"/>
      <c r="G463" s="51"/>
    </row>
    <row r="464" spans="1:72" s="46" customFormat="1" ht="15.75" hidden="1" customHeight="1" x14ac:dyDescent="0.25">
      <c r="A464" s="6">
        <v>1</v>
      </c>
      <c r="B464" s="52" t="s">
        <v>213</v>
      </c>
      <c r="C464" s="22"/>
      <c r="D464" s="45">
        <v>1471</v>
      </c>
      <c r="E464" s="51"/>
      <c r="F464" s="51"/>
      <c r="G464" s="51"/>
    </row>
    <row r="465" spans="1:72" s="46" customFormat="1" ht="30.75" hidden="1" customHeight="1" x14ac:dyDescent="0.25">
      <c r="A465" s="6">
        <v>1</v>
      </c>
      <c r="B465" s="52" t="s">
        <v>214</v>
      </c>
      <c r="C465" s="22"/>
      <c r="D465" s="45"/>
      <c r="E465" s="51"/>
      <c r="F465" s="51"/>
      <c r="G465" s="51"/>
    </row>
    <row r="466" spans="1:72" s="46" customFormat="1" hidden="1" x14ac:dyDescent="0.25">
      <c r="A466" s="6">
        <v>1</v>
      </c>
      <c r="B466" s="52" t="s">
        <v>215</v>
      </c>
      <c r="C466" s="22"/>
      <c r="D466" s="45"/>
      <c r="E466" s="51"/>
      <c r="F466" s="51"/>
      <c r="G466" s="51"/>
    </row>
    <row r="467" spans="1:72" s="46" customFormat="1" ht="30" hidden="1" x14ac:dyDescent="0.25">
      <c r="A467" s="6">
        <v>1</v>
      </c>
      <c r="B467" s="52" t="s">
        <v>216</v>
      </c>
      <c r="C467" s="22"/>
      <c r="D467" s="45"/>
      <c r="E467" s="51"/>
      <c r="F467" s="51"/>
      <c r="G467" s="51"/>
    </row>
    <row r="468" spans="1:72" s="46" customFormat="1" hidden="1" x14ac:dyDescent="0.25">
      <c r="A468" s="6">
        <v>1</v>
      </c>
      <c r="B468" s="52" t="s">
        <v>215</v>
      </c>
      <c r="C468" s="22"/>
      <c r="D468" s="76"/>
      <c r="E468" s="51"/>
      <c r="F468" s="51"/>
      <c r="G468" s="51"/>
    </row>
    <row r="469" spans="1:72" s="46" customFormat="1" ht="30" hidden="1" customHeight="1" x14ac:dyDescent="0.25">
      <c r="A469" s="6">
        <v>1</v>
      </c>
      <c r="B469" s="48" t="s">
        <v>217</v>
      </c>
      <c r="C469" s="22"/>
      <c r="D469" s="3">
        <f>SUM(D470,D471,D473)</f>
        <v>3829</v>
      </c>
      <c r="E469" s="51"/>
      <c r="F469" s="51"/>
      <c r="G469" s="51"/>
    </row>
    <row r="470" spans="1:72" s="46" customFormat="1" ht="30" hidden="1" x14ac:dyDescent="0.25">
      <c r="A470" s="6">
        <v>1</v>
      </c>
      <c r="B470" s="52" t="s">
        <v>218</v>
      </c>
      <c r="C470" s="22"/>
      <c r="D470" s="3">
        <f>2829+1000</f>
        <v>3829</v>
      </c>
      <c r="E470" s="51"/>
      <c r="F470" s="51"/>
      <c r="G470" s="51"/>
    </row>
    <row r="471" spans="1:72" s="46" customFormat="1" ht="45" hidden="1" x14ac:dyDescent="0.25">
      <c r="A471" s="6">
        <v>1</v>
      </c>
      <c r="B471" s="52" t="s">
        <v>219</v>
      </c>
      <c r="C471" s="22"/>
      <c r="D471" s="42"/>
      <c r="E471" s="51"/>
      <c r="F471" s="51"/>
      <c r="G471" s="51"/>
    </row>
    <row r="472" spans="1:72" s="46" customFormat="1" hidden="1" x14ac:dyDescent="0.25">
      <c r="A472" s="6">
        <v>1</v>
      </c>
      <c r="B472" s="52" t="s">
        <v>215</v>
      </c>
      <c r="C472" s="22"/>
      <c r="D472" s="42"/>
      <c r="E472" s="51"/>
      <c r="F472" s="51"/>
      <c r="G472" s="51"/>
    </row>
    <row r="473" spans="1:72" s="46" customFormat="1" ht="45" hidden="1" x14ac:dyDescent="0.25">
      <c r="A473" s="6">
        <v>1</v>
      </c>
      <c r="B473" s="52" t="s">
        <v>220</v>
      </c>
      <c r="C473" s="22"/>
      <c r="D473" s="42"/>
      <c r="E473" s="51"/>
      <c r="F473" s="51"/>
      <c r="G473" s="51"/>
    </row>
    <row r="474" spans="1:72" s="46" customFormat="1" hidden="1" x14ac:dyDescent="0.25">
      <c r="A474" s="6">
        <v>1</v>
      </c>
      <c r="B474" s="52" t="s">
        <v>215</v>
      </c>
      <c r="C474" s="22"/>
      <c r="D474" s="42"/>
      <c r="E474" s="51"/>
      <c r="F474" s="51"/>
      <c r="G474" s="51"/>
    </row>
    <row r="475" spans="1:72" s="46" customFormat="1" ht="31.5" hidden="1" customHeight="1" x14ac:dyDescent="0.25">
      <c r="A475" s="6">
        <v>1</v>
      </c>
      <c r="B475" s="48" t="s">
        <v>221</v>
      </c>
      <c r="C475" s="22"/>
      <c r="D475" s="3"/>
      <c r="E475" s="51"/>
      <c r="F475" s="51"/>
      <c r="G475" s="51"/>
    </row>
    <row r="476" spans="1:72" s="46" customFormat="1" ht="15.75" hidden="1" customHeight="1" x14ac:dyDescent="0.25">
      <c r="A476" s="6">
        <v>1</v>
      </c>
      <c r="B476" s="48" t="s">
        <v>222</v>
      </c>
      <c r="C476" s="22"/>
      <c r="D476" s="3"/>
      <c r="E476" s="51"/>
      <c r="F476" s="51"/>
      <c r="G476" s="51"/>
    </row>
    <row r="477" spans="1:72" s="46" customFormat="1" ht="15.75" hidden="1" customHeight="1" x14ac:dyDescent="0.25">
      <c r="A477" s="6">
        <v>1</v>
      </c>
      <c r="B477" s="23" t="s">
        <v>223</v>
      </c>
      <c r="C477" s="22"/>
      <c r="D477" s="3"/>
      <c r="E477" s="51"/>
      <c r="F477" s="51"/>
      <c r="G477" s="51"/>
    </row>
    <row r="478" spans="1:72" s="46" customFormat="1" hidden="1" x14ac:dyDescent="0.25">
      <c r="A478" s="6">
        <v>1</v>
      </c>
      <c r="B478" s="24" t="s">
        <v>118</v>
      </c>
      <c r="C478" s="47"/>
      <c r="D478" s="45"/>
      <c r="E478" s="51"/>
      <c r="F478" s="51"/>
      <c r="G478" s="51"/>
    </row>
    <row r="479" spans="1:72" s="46" customFormat="1" hidden="1" x14ac:dyDescent="0.25">
      <c r="A479" s="6">
        <v>1</v>
      </c>
      <c r="B479" s="44" t="s">
        <v>150</v>
      </c>
      <c r="C479" s="47"/>
      <c r="D479" s="76"/>
      <c r="E479" s="51"/>
      <c r="F479" s="51"/>
      <c r="G479" s="51"/>
    </row>
    <row r="480" spans="1:72" ht="30" hidden="1" x14ac:dyDescent="0.25">
      <c r="A480" s="6">
        <v>1</v>
      </c>
      <c r="B480" s="24" t="s">
        <v>119</v>
      </c>
      <c r="C480" s="22"/>
      <c r="D480" s="3">
        <v>6260</v>
      </c>
      <c r="E480" s="3"/>
      <c r="F480" s="3"/>
      <c r="G480" s="3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  <c r="BI480" s="20"/>
      <c r="BJ480" s="20"/>
      <c r="BK480" s="20"/>
      <c r="BL480" s="20"/>
      <c r="BM480" s="20"/>
      <c r="BN480" s="20"/>
      <c r="BO480" s="20"/>
      <c r="BP480" s="20"/>
      <c r="BQ480" s="20"/>
      <c r="BR480" s="20"/>
      <c r="BS480" s="20"/>
      <c r="BT480" s="20"/>
    </row>
    <row r="481" spans="1:72" s="46" customFormat="1" ht="15.75" hidden="1" customHeight="1" x14ac:dyDescent="0.25">
      <c r="A481" s="6">
        <v>1</v>
      </c>
      <c r="B481" s="24" t="s">
        <v>224</v>
      </c>
      <c r="C481" s="22"/>
      <c r="D481" s="3"/>
      <c r="E481" s="51"/>
      <c r="F481" s="51"/>
      <c r="G481" s="51"/>
    </row>
    <row r="482" spans="1:72" s="46" customFormat="1" hidden="1" x14ac:dyDescent="0.25">
      <c r="A482" s="6">
        <v>1</v>
      </c>
      <c r="B482" s="53"/>
      <c r="C482" s="22"/>
      <c r="D482" s="3"/>
      <c r="E482" s="51"/>
      <c r="F482" s="51"/>
      <c r="G482" s="51"/>
    </row>
    <row r="483" spans="1:72" s="46" customFormat="1" hidden="1" x14ac:dyDescent="0.25">
      <c r="A483" s="6">
        <v>1</v>
      </c>
      <c r="B483" s="54" t="s">
        <v>152</v>
      </c>
      <c r="C483" s="22"/>
      <c r="D483" s="18">
        <f>D460+ROUND(D478*3.2,0)+D480</f>
        <v>16362</v>
      </c>
      <c r="E483" s="51"/>
      <c r="F483" s="51"/>
      <c r="G483" s="51"/>
    </row>
    <row r="484" spans="1:72" s="46" customFormat="1" hidden="1" x14ac:dyDescent="0.25">
      <c r="A484" s="6">
        <v>1</v>
      </c>
      <c r="B484" s="55" t="s">
        <v>151</v>
      </c>
      <c r="C484" s="22"/>
      <c r="D484" s="18">
        <f>SUM(D458,D483)</f>
        <v>122362</v>
      </c>
      <c r="E484" s="51"/>
      <c r="F484" s="51"/>
      <c r="G484" s="51"/>
    </row>
    <row r="485" spans="1:72" ht="15" hidden="1" customHeight="1" x14ac:dyDescent="0.25">
      <c r="A485" s="6">
        <v>1</v>
      </c>
      <c r="B485" s="34" t="s">
        <v>7</v>
      </c>
      <c r="C485" s="587"/>
      <c r="D485" s="3"/>
      <c r="E485" s="3"/>
      <c r="F485" s="3"/>
      <c r="G485" s="3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</row>
    <row r="486" spans="1:72" ht="15" hidden="1" customHeight="1" x14ac:dyDescent="0.25">
      <c r="A486" s="6">
        <v>1</v>
      </c>
      <c r="B486" s="43" t="s">
        <v>20</v>
      </c>
      <c r="C486" s="587"/>
      <c r="D486" s="3"/>
      <c r="E486" s="3"/>
      <c r="F486" s="3"/>
      <c r="G486" s="3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</row>
    <row r="487" spans="1:72" ht="15" hidden="1" customHeight="1" x14ac:dyDescent="0.25">
      <c r="A487" s="6">
        <v>1</v>
      </c>
      <c r="B487" s="30" t="s">
        <v>37</v>
      </c>
      <c r="C487" s="587">
        <v>240</v>
      </c>
      <c r="D487" s="3">
        <v>900</v>
      </c>
      <c r="E487" s="227">
        <v>8</v>
      </c>
      <c r="F487" s="3">
        <f>ROUND(G487/C487,0)</f>
        <v>30</v>
      </c>
      <c r="G487" s="3">
        <f>ROUND(D487*E487,0)</f>
        <v>7200</v>
      </c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</row>
    <row r="488" spans="1:72" ht="15" hidden="1" customHeight="1" x14ac:dyDescent="0.25">
      <c r="A488" s="6">
        <v>1</v>
      </c>
      <c r="B488" s="572" t="s">
        <v>141</v>
      </c>
      <c r="C488" s="588"/>
      <c r="D488" s="35">
        <f t="shared" ref="D488" si="29">D487</f>
        <v>900</v>
      </c>
      <c r="E488" s="537">
        <f t="shared" ref="E488:G489" si="30">E487</f>
        <v>8</v>
      </c>
      <c r="F488" s="35">
        <f t="shared" si="30"/>
        <v>30</v>
      </c>
      <c r="G488" s="35">
        <f t="shared" si="30"/>
        <v>7200</v>
      </c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</row>
    <row r="489" spans="1:72" ht="22.5" hidden="1" customHeight="1" x14ac:dyDescent="0.25">
      <c r="A489" s="6">
        <v>1</v>
      </c>
      <c r="B489" s="31" t="s">
        <v>117</v>
      </c>
      <c r="C489" s="381"/>
      <c r="D489" s="18">
        <f t="shared" ref="D489" si="31">D488</f>
        <v>900</v>
      </c>
      <c r="E489" s="17">
        <f>G489/D489</f>
        <v>8</v>
      </c>
      <c r="F489" s="18">
        <f t="shared" si="30"/>
        <v>30</v>
      </c>
      <c r="G489" s="18">
        <f t="shared" si="30"/>
        <v>7200</v>
      </c>
    </row>
    <row r="490" spans="1:72" ht="15.75" hidden="1" thickBot="1" x14ac:dyDescent="0.3">
      <c r="A490" s="6">
        <v>1</v>
      </c>
      <c r="B490" s="578" t="s">
        <v>10</v>
      </c>
      <c r="C490" s="579"/>
      <c r="D490" s="579"/>
      <c r="E490" s="579"/>
      <c r="F490" s="579"/>
      <c r="G490" s="579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  <c r="BI490" s="20"/>
      <c r="BJ490" s="20"/>
      <c r="BK490" s="20"/>
      <c r="BL490" s="20"/>
      <c r="BM490" s="20"/>
      <c r="BN490" s="20"/>
      <c r="BO490" s="20"/>
      <c r="BP490" s="20"/>
      <c r="BQ490" s="20"/>
      <c r="BR490" s="20"/>
      <c r="BS490" s="20"/>
      <c r="BT490" s="20"/>
    </row>
    <row r="491" spans="1:72" s="590" customFormat="1" hidden="1" x14ac:dyDescent="0.25">
      <c r="A491" s="6">
        <v>1</v>
      </c>
      <c r="B491" s="465"/>
      <c r="C491" s="589"/>
      <c r="D491" s="258"/>
      <c r="E491" s="258"/>
      <c r="F491" s="258"/>
      <c r="G491" s="258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  <c r="BI491" s="20"/>
      <c r="BJ491" s="20"/>
      <c r="BK491" s="20"/>
      <c r="BL491" s="20"/>
      <c r="BM491" s="20"/>
      <c r="BN491" s="20"/>
      <c r="BO491" s="20"/>
      <c r="BP491" s="20"/>
      <c r="BQ491" s="20"/>
      <c r="BR491" s="20"/>
      <c r="BS491" s="20"/>
      <c r="BT491" s="20"/>
    </row>
    <row r="492" spans="1:72" ht="15.75" hidden="1" x14ac:dyDescent="0.25">
      <c r="A492" s="6">
        <v>1</v>
      </c>
      <c r="B492" s="591" t="s">
        <v>194</v>
      </c>
      <c r="C492" s="409"/>
      <c r="D492" s="3"/>
      <c r="E492" s="3"/>
      <c r="F492" s="3"/>
      <c r="G492" s="3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</row>
    <row r="493" spans="1:72" hidden="1" x14ac:dyDescent="0.25">
      <c r="A493" s="6">
        <v>1</v>
      </c>
      <c r="B493" s="21" t="s">
        <v>185</v>
      </c>
      <c r="C493" s="22"/>
      <c r="D493" s="3"/>
      <c r="E493" s="3"/>
      <c r="F493" s="3"/>
      <c r="G493" s="3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  <c r="BI493" s="20"/>
      <c r="BJ493" s="20"/>
      <c r="BK493" s="20"/>
      <c r="BL493" s="20"/>
      <c r="BM493" s="20"/>
      <c r="BN493" s="20"/>
      <c r="BO493" s="20"/>
      <c r="BP493" s="20"/>
      <c r="BQ493" s="20"/>
      <c r="BR493" s="20"/>
      <c r="BS493" s="20"/>
      <c r="BT493" s="20"/>
    </row>
    <row r="494" spans="1:72" ht="30" hidden="1" x14ac:dyDescent="0.25">
      <c r="A494" s="6">
        <v>1</v>
      </c>
      <c r="B494" s="23" t="s">
        <v>323</v>
      </c>
      <c r="C494" s="22"/>
      <c r="D494" s="3">
        <f>D495/2.7</f>
        <v>1596.2962962962963</v>
      </c>
      <c r="E494" s="3"/>
      <c r="F494" s="3"/>
      <c r="G494" s="3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0"/>
      <c r="BE494" s="20"/>
      <c r="BF494" s="20"/>
      <c r="BG494" s="20"/>
      <c r="BH494" s="20"/>
      <c r="BI494" s="20"/>
      <c r="BJ494" s="20"/>
      <c r="BK494" s="20"/>
      <c r="BL494" s="20"/>
      <c r="BM494" s="20"/>
      <c r="BN494" s="20"/>
      <c r="BO494" s="20"/>
      <c r="BP494" s="20"/>
      <c r="BQ494" s="20"/>
      <c r="BR494" s="20"/>
      <c r="BS494" s="20"/>
      <c r="BT494" s="20"/>
    </row>
    <row r="495" spans="1:72" hidden="1" x14ac:dyDescent="0.25">
      <c r="A495" s="6">
        <v>1</v>
      </c>
      <c r="B495" s="23" t="s">
        <v>286</v>
      </c>
      <c r="C495" s="28"/>
      <c r="D495" s="3">
        <v>4310</v>
      </c>
      <c r="E495" s="28"/>
      <c r="F495" s="28"/>
      <c r="G495" s="28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0"/>
      <c r="BE495" s="20"/>
      <c r="BF495" s="20"/>
      <c r="BG495" s="20"/>
      <c r="BH495" s="20"/>
      <c r="BI495" s="20"/>
      <c r="BJ495" s="20"/>
      <c r="BK495" s="20"/>
      <c r="BL495" s="20"/>
      <c r="BM495" s="20"/>
      <c r="BN495" s="20"/>
      <c r="BO495" s="20"/>
      <c r="BP495" s="20"/>
      <c r="BQ495" s="20"/>
      <c r="BR495" s="20"/>
      <c r="BS495" s="20"/>
      <c r="BT495" s="20"/>
    </row>
    <row r="496" spans="1:72" hidden="1" x14ac:dyDescent="0.25">
      <c r="A496" s="6">
        <v>1</v>
      </c>
      <c r="B496" s="24" t="s">
        <v>118</v>
      </c>
      <c r="C496" s="22"/>
      <c r="D496" s="3">
        <f>D497/8.5</f>
        <v>32992</v>
      </c>
      <c r="E496" s="3"/>
      <c r="F496" s="3"/>
      <c r="G496" s="3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  <c r="BI496" s="20"/>
      <c r="BJ496" s="20"/>
      <c r="BK496" s="20"/>
      <c r="BL496" s="20"/>
      <c r="BM496" s="20"/>
      <c r="BN496" s="20"/>
      <c r="BO496" s="20"/>
      <c r="BP496" s="20"/>
      <c r="BQ496" s="20"/>
      <c r="BR496" s="20"/>
      <c r="BS496" s="20"/>
      <c r="BT496" s="20"/>
    </row>
    <row r="497" spans="1:72" hidden="1" x14ac:dyDescent="0.25">
      <c r="A497" s="6">
        <v>1</v>
      </c>
      <c r="B497" s="44" t="s">
        <v>150</v>
      </c>
      <c r="C497" s="22"/>
      <c r="D497" s="3">
        <v>280432</v>
      </c>
      <c r="E497" s="3"/>
      <c r="F497" s="3"/>
      <c r="G497" s="3"/>
      <c r="H497" s="98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/>
      <c r="BD497" s="20"/>
      <c r="BE497" s="20"/>
      <c r="BF497" s="20"/>
      <c r="BG497" s="20"/>
      <c r="BH497" s="20"/>
      <c r="BI497" s="20"/>
      <c r="BJ497" s="20"/>
      <c r="BK497" s="20"/>
      <c r="BL497" s="20"/>
      <c r="BM497" s="20"/>
      <c r="BN497" s="20"/>
      <c r="BO497" s="20"/>
      <c r="BP497" s="20"/>
      <c r="BQ497" s="20"/>
      <c r="BR497" s="20"/>
      <c r="BS497" s="20"/>
      <c r="BT497" s="20"/>
    </row>
    <row r="498" spans="1:72" ht="30" hidden="1" x14ac:dyDescent="0.25">
      <c r="A498" s="6">
        <v>1</v>
      </c>
      <c r="B498" s="24" t="s">
        <v>119</v>
      </c>
      <c r="C498" s="22"/>
      <c r="D498" s="3"/>
      <c r="E498" s="3"/>
      <c r="F498" s="3"/>
      <c r="G498" s="3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0"/>
      <c r="BE498" s="20"/>
      <c r="BF498" s="20"/>
      <c r="BG498" s="20"/>
      <c r="BH498" s="20"/>
      <c r="BI498" s="20"/>
      <c r="BJ498" s="20"/>
      <c r="BK498" s="20"/>
      <c r="BL498" s="20"/>
      <c r="BM498" s="20"/>
      <c r="BN498" s="20"/>
      <c r="BO498" s="20"/>
      <c r="BP498" s="20"/>
      <c r="BQ498" s="20"/>
      <c r="BR498" s="20"/>
      <c r="BS498" s="20"/>
      <c r="BT498" s="20"/>
    </row>
    <row r="499" spans="1:72" hidden="1" x14ac:dyDescent="0.25">
      <c r="A499" s="6">
        <v>1</v>
      </c>
      <c r="B499" s="212" t="s">
        <v>151</v>
      </c>
      <c r="C499" s="22"/>
      <c r="D499" s="18">
        <f>D494+ROUND(D497/3.9,0)+D498</f>
        <v>73502.296296296292</v>
      </c>
      <c r="E499" s="3"/>
      <c r="F499" s="3"/>
      <c r="G499" s="3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0"/>
      <c r="BE499" s="20"/>
      <c r="BF499" s="20"/>
      <c r="BG499" s="20"/>
      <c r="BH499" s="20"/>
      <c r="BI499" s="20"/>
      <c r="BJ499" s="20"/>
      <c r="BK499" s="20"/>
      <c r="BL499" s="20"/>
      <c r="BM499" s="20"/>
      <c r="BN499" s="20"/>
      <c r="BO499" s="20"/>
      <c r="BP499" s="20"/>
      <c r="BQ499" s="20"/>
      <c r="BR499" s="20"/>
      <c r="BS499" s="20"/>
      <c r="BT499" s="20"/>
    </row>
    <row r="500" spans="1:72" ht="15.75" hidden="1" thickBot="1" x14ac:dyDescent="0.3">
      <c r="A500" s="6">
        <v>1</v>
      </c>
      <c r="B500" s="578" t="s">
        <v>10</v>
      </c>
      <c r="C500" s="579"/>
      <c r="D500" s="579"/>
      <c r="E500" s="579"/>
      <c r="F500" s="579"/>
      <c r="G500" s="579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0"/>
      <c r="BE500" s="20"/>
      <c r="BF500" s="20"/>
      <c r="BG500" s="20"/>
      <c r="BH500" s="20"/>
      <c r="BI500" s="20"/>
      <c r="BJ500" s="20"/>
      <c r="BK500" s="20"/>
      <c r="BL500" s="20"/>
      <c r="BM500" s="20"/>
      <c r="BN500" s="20"/>
      <c r="BO500" s="20"/>
      <c r="BP500" s="20"/>
      <c r="BQ500" s="20"/>
      <c r="BR500" s="20"/>
      <c r="BS500" s="20"/>
      <c r="BT500" s="20"/>
    </row>
    <row r="501" spans="1:72" s="590" customFormat="1" hidden="1" x14ac:dyDescent="0.25">
      <c r="A501" s="6">
        <v>1</v>
      </c>
      <c r="B501" s="465"/>
      <c r="C501" s="589"/>
      <c r="D501" s="258"/>
      <c r="E501" s="258"/>
      <c r="F501" s="258"/>
      <c r="G501" s="258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/>
      <c r="BD501" s="20"/>
      <c r="BE501" s="20"/>
      <c r="BF501" s="20"/>
      <c r="BG501" s="20"/>
      <c r="BH501" s="20"/>
      <c r="BI501" s="20"/>
      <c r="BJ501" s="20"/>
      <c r="BK501" s="20"/>
      <c r="BL501" s="20"/>
      <c r="BM501" s="20"/>
      <c r="BN501" s="20"/>
      <c r="BO501" s="20"/>
      <c r="BP501" s="20"/>
      <c r="BQ501" s="20"/>
      <c r="BR501" s="20"/>
      <c r="BS501" s="20"/>
      <c r="BT501" s="20"/>
    </row>
    <row r="502" spans="1:72" ht="15.75" hidden="1" x14ac:dyDescent="0.25">
      <c r="A502" s="6">
        <v>1</v>
      </c>
      <c r="B502" s="553" t="s">
        <v>195</v>
      </c>
      <c r="C502" s="409"/>
      <c r="D502" s="3"/>
      <c r="E502" s="3"/>
      <c r="F502" s="3"/>
      <c r="G502" s="3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0"/>
      <c r="BE502" s="20"/>
      <c r="BF502" s="20"/>
      <c r="BG502" s="20"/>
      <c r="BH502" s="20"/>
      <c r="BI502" s="20"/>
      <c r="BJ502" s="20"/>
      <c r="BK502" s="20"/>
      <c r="BL502" s="20"/>
      <c r="BM502" s="20"/>
      <c r="BN502" s="20"/>
      <c r="BO502" s="20"/>
      <c r="BP502" s="20"/>
      <c r="BQ502" s="20"/>
      <c r="BR502" s="20"/>
      <c r="BS502" s="20"/>
      <c r="BT502" s="20"/>
    </row>
    <row r="503" spans="1:72" hidden="1" x14ac:dyDescent="0.25">
      <c r="A503" s="6">
        <v>1</v>
      </c>
      <c r="B503" s="21" t="s">
        <v>185</v>
      </c>
      <c r="C503" s="22"/>
      <c r="D503" s="3"/>
      <c r="E503" s="3"/>
      <c r="F503" s="3"/>
      <c r="G503" s="3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0"/>
      <c r="BE503" s="20"/>
      <c r="BF503" s="20"/>
      <c r="BG503" s="20"/>
      <c r="BH503" s="20"/>
      <c r="BI503" s="20"/>
      <c r="BJ503" s="20"/>
      <c r="BK503" s="20"/>
      <c r="BL503" s="20"/>
      <c r="BM503" s="20"/>
      <c r="BN503" s="20"/>
      <c r="BO503" s="20"/>
      <c r="BP503" s="20"/>
      <c r="BQ503" s="20"/>
      <c r="BR503" s="20"/>
      <c r="BS503" s="20"/>
      <c r="BT503" s="20"/>
    </row>
    <row r="504" spans="1:72" ht="30" hidden="1" x14ac:dyDescent="0.25">
      <c r="A504" s="6">
        <v>1</v>
      </c>
      <c r="B504" s="23" t="s">
        <v>323</v>
      </c>
      <c r="C504" s="22"/>
      <c r="D504" s="3">
        <f>D505/2.7</f>
        <v>2592.5925925925926</v>
      </c>
      <c r="E504" s="3"/>
      <c r="F504" s="3"/>
      <c r="G504" s="3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  <c r="AV504" s="20"/>
      <c r="AW504" s="20"/>
      <c r="AX504" s="20"/>
      <c r="AY504" s="20"/>
      <c r="AZ504" s="20"/>
      <c r="BA504" s="20"/>
      <c r="BB504" s="20"/>
      <c r="BC504" s="20"/>
      <c r="BD504" s="20"/>
      <c r="BE504" s="20"/>
      <c r="BF504" s="20"/>
      <c r="BG504" s="20"/>
      <c r="BH504" s="20"/>
      <c r="BI504" s="20"/>
      <c r="BJ504" s="20"/>
      <c r="BK504" s="20"/>
      <c r="BL504" s="20"/>
      <c r="BM504" s="20"/>
      <c r="BN504" s="20"/>
      <c r="BO504" s="20"/>
      <c r="BP504" s="20"/>
      <c r="BQ504" s="20"/>
      <c r="BR504" s="20"/>
      <c r="BS504" s="20"/>
      <c r="BT504" s="20"/>
    </row>
    <row r="505" spans="1:72" hidden="1" x14ac:dyDescent="0.25">
      <c r="A505" s="6">
        <v>1</v>
      </c>
      <c r="B505" s="23" t="s">
        <v>286</v>
      </c>
      <c r="C505" s="28"/>
      <c r="D505" s="3">
        <v>7000</v>
      </c>
      <c r="E505" s="28"/>
      <c r="F505" s="28"/>
      <c r="G505" s="28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  <c r="AV505" s="20"/>
      <c r="AW505" s="20"/>
      <c r="AX505" s="20"/>
      <c r="AY505" s="20"/>
      <c r="AZ505" s="20"/>
      <c r="BA505" s="20"/>
      <c r="BB505" s="20"/>
      <c r="BC505" s="20"/>
      <c r="BD505" s="20"/>
      <c r="BE505" s="20"/>
      <c r="BF505" s="20"/>
      <c r="BG505" s="20"/>
      <c r="BH505" s="20"/>
      <c r="BI505" s="20"/>
      <c r="BJ505" s="20"/>
      <c r="BK505" s="20"/>
      <c r="BL505" s="20"/>
      <c r="BM505" s="20"/>
      <c r="BN505" s="20"/>
      <c r="BO505" s="20"/>
      <c r="BP505" s="20"/>
      <c r="BQ505" s="20"/>
      <c r="BR505" s="20"/>
      <c r="BS505" s="20"/>
      <c r="BT505" s="20"/>
    </row>
    <row r="506" spans="1:72" hidden="1" x14ac:dyDescent="0.25">
      <c r="A506" s="6">
        <v>1</v>
      </c>
      <c r="B506" s="24" t="s">
        <v>118</v>
      </c>
      <c r="C506" s="22"/>
      <c r="D506" s="3">
        <f>(D507+D508)/8.5</f>
        <v>24742.941176470587</v>
      </c>
      <c r="E506" s="3"/>
      <c r="F506" s="3"/>
      <c r="G506" s="3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  <c r="AV506" s="20"/>
      <c r="AW506" s="20"/>
      <c r="AX506" s="20"/>
      <c r="AY506" s="20"/>
      <c r="AZ506" s="20"/>
      <c r="BA506" s="20"/>
      <c r="BB506" s="20"/>
      <c r="BC506" s="20"/>
      <c r="BD506" s="20"/>
      <c r="BE506" s="20"/>
      <c r="BF506" s="20"/>
      <c r="BG506" s="20"/>
      <c r="BH506" s="20"/>
      <c r="BI506" s="20"/>
      <c r="BJ506" s="20"/>
      <c r="BK506" s="20"/>
      <c r="BL506" s="20"/>
      <c r="BM506" s="20"/>
      <c r="BN506" s="20"/>
      <c r="BO506" s="20"/>
      <c r="BP506" s="20"/>
      <c r="BQ506" s="20"/>
      <c r="BR506" s="20"/>
      <c r="BS506" s="20"/>
      <c r="BT506" s="20"/>
    </row>
    <row r="507" spans="1:72" hidden="1" x14ac:dyDescent="0.25">
      <c r="A507" s="6">
        <v>1</v>
      </c>
      <c r="B507" s="309" t="s">
        <v>262</v>
      </c>
      <c r="C507" s="22"/>
      <c r="D507" s="3">
        <v>209315</v>
      </c>
      <c r="E507" s="3"/>
      <c r="F507" s="3"/>
      <c r="G507" s="3"/>
      <c r="H507" s="98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  <c r="AV507" s="20"/>
      <c r="AW507" s="20"/>
      <c r="AX507" s="20"/>
      <c r="AY507" s="20"/>
      <c r="AZ507" s="20"/>
      <c r="BA507" s="20"/>
      <c r="BB507" s="20"/>
      <c r="BC507" s="20"/>
      <c r="BD507" s="20"/>
      <c r="BE507" s="20"/>
      <c r="BF507" s="20"/>
      <c r="BG507" s="20"/>
      <c r="BH507" s="20"/>
      <c r="BI507" s="20"/>
      <c r="BJ507" s="20"/>
      <c r="BK507" s="20"/>
      <c r="BL507" s="20"/>
      <c r="BM507" s="20"/>
      <c r="BN507" s="20"/>
      <c r="BO507" s="20"/>
      <c r="BP507" s="20"/>
      <c r="BQ507" s="20"/>
      <c r="BR507" s="20"/>
      <c r="BS507" s="20"/>
      <c r="BT507" s="20"/>
    </row>
    <row r="508" spans="1:72" hidden="1" x14ac:dyDescent="0.25">
      <c r="A508" s="6">
        <v>1</v>
      </c>
      <c r="B508" s="309" t="s">
        <v>263</v>
      </c>
      <c r="C508" s="22"/>
      <c r="D508" s="3">
        <v>1000</v>
      </c>
      <c r="E508" s="3"/>
      <c r="F508" s="3"/>
      <c r="G508" s="3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  <c r="AV508" s="20"/>
      <c r="AW508" s="20"/>
      <c r="AX508" s="20"/>
      <c r="AY508" s="20"/>
      <c r="AZ508" s="20"/>
      <c r="BA508" s="20"/>
      <c r="BB508" s="20"/>
      <c r="BC508" s="20"/>
      <c r="BD508" s="20"/>
      <c r="BE508" s="20"/>
      <c r="BF508" s="20"/>
      <c r="BG508" s="20"/>
      <c r="BH508" s="20"/>
      <c r="BI508" s="20"/>
      <c r="BJ508" s="20"/>
      <c r="BK508" s="20"/>
      <c r="BL508" s="20"/>
      <c r="BM508" s="20"/>
      <c r="BN508" s="20"/>
      <c r="BO508" s="20"/>
      <c r="BP508" s="20"/>
      <c r="BQ508" s="20"/>
      <c r="BR508" s="20"/>
      <c r="BS508" s="20"/>
      <c r="BT508" s="20"/>
    </row>
    <row r="509" spans="1:72" ht="30" hidden="1" x14ac:dyDescent="0.25">
      <c r="A509" s="6">
        <v>1</v>
      </c>
      <c r="B509" s="24" t="s">
        <v>119</v>
      </c>
      <c r="C509" s="22"/>
      <c r="D509" s="3"/>
      <c r="E509" s="3"/>
      <c r="F509" s="3"/>
      <c r="G509" s="3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  <c r="AV509" s="20"/>
      <c r="AW509" s="20"/>
      <c r="AX509" s="20"/>
      <c r="AY509" s="20"/>
      <c r="AZ509" s="20"/>
      <c r="BA509" s="20"/>
      <c r="BB509" s="20"/>
      <c r="BC509" s="20"/>
      <c r="BD509" s="20"/>
      <c r="BE509" s="20"/>
      <c r="BF509" s="20"/>
      <c r="BG509" s="20"/>
      <c r="BH509" s="20"/>
      <c r="BI509" s="20"/>
      <c r="BJ509" s="20"/>
      <c r="BK509" s="20"/>
      <c r="BL509" s="20"/>
      <c r="BM509" s="20"/>
      <c r="BN509" s="20"/>
      <c r="BO509" s="20"/>
      <c r="BP509" s="20"/>
      <c r="BQ509" s="20"/>
      <c r="BR509" s="20"/>
      <c r="BS509" s="20"/>
      <c r="BT509" s="20"/>
    </row>
    <row r="510" spans="1:72" hidden="1" x14ac:dyDescent="0.25">
      <c r="A510" s="6">
        <v>1</v>
      </c>
      <c r="B510" s="212" t="s">
        <v>151</v>
      </c>
      <c r="C510" s="22"/>
      <c r="D510" s="18">
        <f>D504+ROUND((D508+D507)/3.9,0)+D509</f>
        <v>56519.592592592591</v>
      </c>
      <c r="E510" s="3"/>
      <c r="F510" s="3"/>
      <c r="G510" s="3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  <c r="AV510" s="20"/>
      <c r="AW510" s="20"/>
      <c r="AX510" s="20"/>
      <c r="AY510" s="20"/>
      <c r="AZ510" s="20"/>
      <c r="BA510" s="20"/>
      <c r="BB510" s="20"/>
      <c r="BC510" s="20"/>
      <c r="BD510" s="20"/>
      <c r="BE510" s="20"/>
      <c r="BF510" s="20"/>
      <c r="BG510" s="20"/>
      <c r="BH510" s="20"/>
      <c r="BI510" s="20"/>
      <c r="BJ510" s="20"/>
      <c r="BK510" s="20"/>
      <c r="BL510" s="20"/>
      <c r="BM510" s="20"/>
      <c r="BN510" s="20"/>
      <c r="BO510" s="20"/>
      <c r="BP510" s="20"/>
      <c r="BQ510" s="20"/>
      <c r="BR510" s="20"/>
      <c r="BS510" s="20"/>
      <c r="BT510" s="20"/>
    </row>
    <row r="511" spans="1:72" ht="15.75" hidden="1" thickBot="1" x14ac:dyDescent="0.3">
      <c r="A511" s="6">
        <v>1</v>
      </c>
      <c r="B511" s="578" t="s">
        <v>10</v>
      </c>
      <c r="C511" s="579"/>
      <c r="D511" s="579"/>
      <c r="E511" s="579"/>
      <c r="F511" s="579"/>
      <c r="G511" s="579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  <c r="AV511" s="20"/>
      <c r="AW511" s="20"/>
      <c r="AX511" s="20"/>
      <c r="AY511" s="20"/>
      <c r="AZ511" s="20"/>
      <c r="BA511" s="20"/>
      <c r="BB511" s="20"/>
      <c r="BC511" s="20"/>
      <c r="BD511" s="20"/>
      <c r="BE511" s="20"/>
      <c r="BF511" s="20"/>
      <c r="BG511" s="20"/>
      <c r="BH511" s="20"/>
      <c r="BI511" s="20"/>
      <c r="BJ511" s="20"/>
      <c r="BK511" s="20"/>
      <c r="BL511" s="20"/>
      <c r="BM511" s="20"/>
      <c r="BN511" s="20"/>
      <c r="BO511" s="20"/>
      <c r="BP511" s="20"/>
      <c r="BQ511" s="20"/>
      <c r="BR511" s="20"/>
      <c r="BS511" s="20"/>
      <c r="BT511" s="20"/>
    </row>
    <row r="512" spans="1:72" s="590" customFormat="1" hidden="1" x14ac:dyDescent="0.25">
      <c r="A512" s="6">
        <v>1</v>
      </c>
      <c r="B512" s="426"/>
      <c r="C512" s="586"/>
      <c r="D512" s="3"/>
      <c r="E512" s="3"/>
      <c r="F512" s="3"/>
      <c r="G512" s="3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  <c r="AV512" s="20"/>
      <c r="AW512" s="20"/>
      <c r="AX512" s="20"/>
      <c r="AY512" s="20"/>
      <c r="AZ512" s="20"/>
      <c r="BA512" s="20"/>
      <c r="BB512" s="20"/>
      <c r="BC512" s="20"/>
      <c r="BD512" s="20"/>
      <c r="BE512" s="20"/>
      <c r="BF512" s="20"/>
      <c r="BG512" s="20"/>
      <c r="BH512" s="20"/>
      <c r="BI512" s="20"/>
      <c r="BJ512" s="20"/>
      <c r="BK512" s="20"/>
      <c r="BL512" s="20"/>
      <c r="BM512" s="20"/>
      <c r="BN512" s="20"/>
      <c r="BO512" s="20"/>
      <c r="BP512" s="20"/>
      <c r="BQ512" s="20"/>
      <c r="BR512" s="20"/>
      <c r="BS512" s="20"/>
      <c r="BT512" s="20"/>
    </row>
    <row r="513" spans="1:72" ht="15.75" hidden="1" x14ac:dyDescent="0.25">
      <c r="A513" s="6">
        <v>1</v>
      </c>
      <c r="B513" s="553" t="s">
        <v>196</v>
      </c>
      <c r="C513" s="409"/>
      <c r="D513" s="3"/>
      <c r="E513" s="3"/>
      <c r="F513" s="3"/>
      <c r="G513" s="3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20"/>
      <c r="AT513" s="20"/>
      <c r="AU513" s="20"/>
      <c r="AV513" s="20"/>
      <c r="AW513" s="20"/>
      <c r="AX513" s="20"/>
      <c r="AY513" s="20"/>
      <c r="AZ513" s="20"/>
      <c r="BA513" s="20"/>
      <c r="BB513" s="20"/>
      <c r="BC513" s="20"/>
      <c r="BD513" s="20"/>
      <c r="BE513" s="20"/>
      <c r="BF513" s="20"/>
      <c r="BG513" s="20"/>
      <c r="BH513" s="20"/>
      <c r="BI513" s="20"/>
      <c r="BJ513" s="20"/>
      <c r="BK513" s="20"/>
      <c r="BL513" s="20"/>
      <c r="BM513" s="20"/>
      <c r="BN513" s="20"/>
      <c r="BO513" s="20"/>
      <c r="BP513" s="20"/>
      <c r="BQ513" s="20"/>
      <c r="BR513" s="20"/>
      <c r="BS513" s="20"/>
      <c r="BT513" s="20"/>
    </row>
    <row r="514" spans="1:72" hidden="1" x14ac:dyDescent="0.25">
      <c r="A514" s="6">
        <v>1</v>
      </c>
      <c r="B514" s="21" t="s">
        <v>185</v>
      </c>
      <c r="C514" s="22"/>
      <c r="D514" s="3"/>
      <c r="E514" s="3"/>
      <c r="F514" s="3"/>
      <c r="G514" s="3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20"/>
      <c r="AT514" s="20"/>
      <c r="AU514" s="20"/>
      <c r="AV514" s="20"/>
      <c r="AW514" s="20"/>
      <c r="AX514" s="20"/>
      <c r="AY514" s="20"/>
      <c r="AZ514" s="20"/>
      <c r="BA514" s="20"/>
      <c r="BB514" s="20"/>
      <c r="BC514" s="20"/>
      <c r="BD514" s="20"/>
      <c r="BE514" s="20"/>
      <c r="BF514" s="20"/>
      <c r="BG514" s="20"/>
      <c r="BH514" s="20"/>
      <c r="BI514" s="20"/>
      <c r="BJ514" s="20"/>
      <c r="BK514" s="20"/>
      <c r="BL514" s="20"/>
      <c r="BM514" s="20"/>
      <c r="BN514" s="20"/>
      <c r="BO514" s="20"/>
      <c r="BP514" s="20"/>
      <c r="BQ514" s="20"/>
      <c r="BR514" s="20"/>
      <c r="BS514" s="20"/>
      <c r="BT514" s="20"/>
    </row>
    <row r="515" spans="1:72" ht="30" hidden="1" x14ac:dyDescent="0.25">
      <c r="A515" s="6">
        <v>1</v>
      </c>
      <c r="B515" s="23" t="s">
        <v>323</v>
      </c>
      <c r="C515" s="22"/>
      <c r="D515" s="3">
        <f>D516/2.7</f>
        <v>16296.296296296296</v>
      </c>
      <c r="E515" s="3"/>
      <c r="F515" s="3"/>
      <c r="G515" s="3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20"/>
      <c r="AT515" s="20"/>
      <c r="AU515" s="20"/>
      <c r="AV515" s="20"/>
      <c r="AW515" s="20"/>
      <c r="AX515" s="20"/>
      <c r="AY515" s="20"/>
      <c r="AZ515" s="20"/>
      <c r="BA515" s="20"/>
      <c r="BB515" s="20"/>
      <c r="BC515" s="20"/>
      <c r="BD515" s="20"/>
      <c r="BE515" s="20"/>
      <c r="BF515" s="20"/>
      <c r="BG515" s="20"/>
      <c r="BH515" s="20"/>
      <c r="BI515" s="20"/>
      <c r="BJ515" s="20"/>
      <c r="BK515" s="20"/>
      <c r="BL515" s="20"/>
      <c r="BM515" s="20"/>
      <c r="BN515" s="20"/>
      <c r="BO515" s="20"/>
      <c r="BP515" s="20"/>
      <c r="BQ515" s="20"/>
      <c r="BR515" s="20"/>
      <c r="BS515" s="20"/>
      <c r="BT515" s="20"/>
    </row>
    <row r="516" spans="1:72" hidden="1" x14ac:dyDescent="0.25">
      <c r="A516" s="6">
        <v>1</v>
      </c>
      <c r="B516" s="23" t="s">
        <v>286</v>
      </c>
      <c r="C516" s="28"/>
      <c r="D516" s="3">
        <v>44000</v>
      </c>
      <c r="E516" s="28"/>
      <c r="F516" s="28"/>
      <c r="G516" s="28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20"/>
      <c r="AT516" s="20"/>
      <c r="AU516" s="20"/>
      <c r="AV516" s="20"/>
      <c r="AW516" s="20"/>
      <c r="AX516" s="20"/>
      <c r="AY516" s="20"/>
      <c r="AZ516" s="20"/>
      <c r="BA516" s="20"/>
      <c r="BB516" s="20"/>
      <c r="BC516" s="20"/>
      <c r="BD516" s="20"/>
      <c r="BE516" s="20"/>
      <c r="BF516" s="20"/>
      <c r="BG516" s="20"/>
      <c r="BH516" s="20"/>
      <c r="BI516" s="20"/>
      <c r="BJ516" s="20"/>
      <c r="BK516" s="20"/>
      <c r="BL516" s="20"/>
      <c r="BM516" s="20"/>
      <c r="BN516" s="20"/>
      <c r="BO516" s="20"/>
      <c r="BP516" s="20"/>
      <c r="BQ516" s="20"/>
      <c r="BR516" s="20"/>
      <c r="BS516" s="20"/>
      <c r="BT516" s="20"/>
    </row>
    <row r="517" spans="1:72" hidden="1" x14ac:dyDescent="0.25">
      <c r="A517" s="6">
        <v>1</v>
      </c>
      <c r="B517" s="24" t="s">
        <v>118</v>
      </c>
      <c r="C517" s="22"/>
      <c r="D517" s="3">
        <f>(D518+D519)/8.5</f>
        <v>21235.294117647059</v>
      </c>
      <c r="E517" s="3"/>
      <c r="F517" s="3"/>
      <c r="G517" s="3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20"/>
      <c r="AT517" s="20"/>
      <c r="AU517" s="20"/>
      <c r="AV517" s="20"/>
      <c r="AW517" s="20"/>
      <c r="AX517" s="20"/>
      <c r="AY517" s="20"/>
      <c r="AZ517" s="20"/>
      <c r="BA517" s="20"/>
      <c r="BB517" s="20"/>
      <c r="BC517" s="20"/>
      <c r="BD517" s="20"/>
      <c r="BE517" s="20"/>
      <c r="BF517" s="20"/>
      <c r="BG517" s="20"/>
      <c r="BH517" s="20"/>
      <c r="BI517" s="20"/>
      <c r="BJ517" s="20"/>
      <c r="BK517" s="20"/>
      <c r="BL517" s="20"/>
      <c r="BM517" s="20"/>
      <c r="BN517" s="20"/>
      <c r="BO517" s="20"/>
      <c r="BP517" s="20"/>
      <c r="BQ517" s="20"/>
      <c r="BR517" s="20"/>
      <c r="BS517" s="20"/>
      <c r="BT517" s="20"/>
    </row>
    <row r="518" spans="1:72" hidden="1" x14ac:dyDescent="0.25">
      <c r="A518" s="6">
        <v>1</v>
      </c>
      <c r="B518" s="44" t="s">
        <v>150</v>
      </c>
      <c r="C518" s="22"/>
      <c r="D518" s="3">
        <v>173500</v>
      </c>
      <c r="E518" s="3"/>
      <c r="F518" s="3"/>
      <c r="G518" s="3"/>
      <c r="H518" s="98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  <c r="AU518" s="20"/>
      <c r="AV518" s="20"/>
      <c r="AW518" s="20"/>
      <c r="AX518" s="20"/>
      <c r="AY518" s="20"/>
      <c r="AZ518" s="20"/>
      <c r="BA518" s="20"/>
      <c r="BB518" s="20"/>
      <c r="BC518" s="20"/>
      <c r="BD518" s="20"/>
      <c r="BE518" s="20"/>
      <c r="BF518" s="20"/>
      <c r="BG518" s="20"/>
      <c r="BH518" s="20"/>
      <c r="BI518" s="20"/>
      <c r="BJ518" s="20"/>
      <c r="BK518" s="20"/>
      <c r="BL518" s="20"/>
      <c r="BM518" s="20"/>
      <c r="BN518" s="20"/>
      <c r="BO518" s="20"/>
      <c r="BP518" s="20"/>
      <c r="BQ518" s="20"/>
      <c r="BR518" s="20"/>
      <c r="BS518" s="20"/>
      <c r="BT518" s="20"/>
    </row>
    <row r="519" spans="1:72" hidden="1" x14ac:dyDescent="0.25">
      <c r="A519" s="6">
        <v>1</v>
      </c>
      <c r="B519" s="309" t="s">
        <v>263</v>
      </c>
      <c r="C519" s="22"/>
      <c r="D519" s="3">
        <v>7000</v>
      </c>
      <c r="E519" s="3"/>
      <c r="F519" s="3"/>
      <c r="G519" s="3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20"/>
      <c r="AT519" s="20"/>
      <c r="AU519" s="20"/>
      <c r="AV519" s="20"/>
      <c r="AW519" s="20"/>
      <c r="AX519" s="20"/>
      <c r="AY519" s="20"/>
      <c r="AZ519" s="20"/>
      <c r="BA519" s="20"/>
      <c r="BB519" s="20"/>
      <c r="BC519" s="20"/>
      <c r="BD519" s="20"/>
      <c r="BE519" s="20"/>
      <c r="BF519" s="20"/>
      <c r="BG519" s="20"/>
      <c r="BH519" s="20"/>
      <c r="BI519" s="20"/>
      <c r="BJ519" s="20"/>
      <c r="BK519" s="20"/>
      <c r="BL519" s="20"/>
      <c r="BM519" s="20"/>
      <c r="BN519" s="20"/>
      <c r="BO519" s="20"/>
      <c r="BP519" s="20"/>
      <c r="BQ519" s="20"/>
      <c r="BR519" s="20"/>
      <c r="BS519" s="20"/>
      <c r="BT519" s="20"/>
    </row>
    <row r="520" spans="1:72" ht="30" hidden="1" x14ac:dyDescent="0.25">
      <c r="A520" s="6">
        <v>1</v>
      </c>
      <c r="B520" s="24" t="s">
        <v>119</v>
      </c>
      <c r="C520" s="22"/>
      <c r="D520" s="3"/>
      <c r="E520" s="3"/>
      <c r="F520" s="3"/>
      <c r="G520" s="3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20"/>
      <c r="AT520" s="20"/>
      <c r="AU520" s="20"/>
      <c r="AV520" s="20"/>
      <c r="AW520" s="20"/>
      <c r="AX520" s="20"/>
      <c r="AY520" s="20"/>
      <c r="AZ520" s="20"/>
      <c r="BA520" s="20"/>
      <c r="BB520" s="20"/>
      <c r="BC520" s="20"/>
      <c r="BD520" s="20"/>
      <c r="BE520" s="20"/>
      <c r="BF520" s="20"/>
      <c r="BG520" s="20"/>
      <c r="BH520" s="20"/>
      <c r="BI520" s="20"/>
      <c r="BJ520" s="20"/>
      <c r="BK520" s="20"/>
      <c r="BL520" s="20"/>
      <c r="BM520" s="20"/>
      <c r="BN520" s="20"/>
      <c r="BO520" s="20"/>
      <c r="BP520" s="20"/>
      <c r="BQ520" s="20"/>
      <c r="BR520" s="20"/>
      <c r="BS520" s="20"/>
      <c r="BT520" s="20"/>
    </row>
    <row r="521" spans="1:72" hidden="1" x14ac:dyDescent="0.25">
      <c r="A521" s="6">
        <v>1</v>
      </c>
      <c r="B521" s="212" t="s">
        <v>151</v>
      </c>
      <c r="C521" s="22"/>
      <c r="D521" s="18">
        <f>D515+ROUND((D519+D518)/3.9,0)+D520</f>
        <v>62578.296296296292</v>
      </c>
      <c r="E521" s="3"/>
      <c r="F521" s="3"/>
      <c r="G521" s="3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20"/>
      <c r="AT521" s="20"/>
      <c r="AU521" s="20"/>
      <c r="AV521" s="20"/>
      <c r="AW521" s="20"/>
      <c r="AX521" s="20"/>
      <c r="AY521" s="20"/>
      <c r="AZ521" s="20"/>
      <c r="BA521" s="20"/>
      <c r="BB521" s="20"/>
      <c r="BC521" s="20"/>
      <c r="BD521" s="20"/>
      <c r="BE521" s="20"/>
      <c r="BF521" s="20"/>
      <c r="BG521" s="20"/>
      <c r="BH521" s="20"/>
      <c r="BI521" s="20"/>
      <c r="BJ521" s="20"/>
      <c r="BK521" s="20"/>
      <c r="BL521" s="20"/>
      <c r="BM521" s="20"/>
      <c r="BN521" s="20"/>
      <c r="BO521" s="20"/>
      <c r="BP521" s="20"/>
      <c r="BQ521" s="20"/>
      <c r="BR521" s="20"/>
      <c r="BS521" s="20"/>
      <c r="BT521" s="20"/>
    </row>
    <row r="522" spans="1:72" hidden="1" x14ac:dyDescent="0.25">
      <c r="A522" s="6">
        <v>1</v>
      </c>
      <c r="B522" s="567" t="s">
        <v>10</v>
      </c>
      <c r="C522" s="592"/>
      <c r="D522" s="592"/>
      <c r="E522" s="592"/>
      <c r="F522" s="592"/>
      <c r="G522" s="592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  <c r="AR522" s="20"/>
      <c r="AS522" s="20"/>
      <c r="AT522" s="20"/>
      <c r="AU522" s="20"/>
      <c r="AV522" s="20"/>
      <c r="AW522" s="20"/>
      <c r="AX522" s="20"/>
      <c r="AY522" s="20"/>
      <c r="AZ522" s="20"/>
      <c r="BA522" s="20"/>
      <c r="BB522" s="20"/>
      <c r="BC522" s="20"/>
      <c r="BD522" s="20"/>
      <c r="BE522" s="20"/>
      <c r="BF522" s="20"/>
      <c r="BG522" s="20"/>
      <c r="BH522" s="20"/>
      <c r="BI522" s="20"/>
      <c r="BJ522" s="20"/>
      <c r="BK522" s="20"/>
      <c r="BL522" s="20"/>
      <c r="BM522" s="20"/>
      <c r="BN522" s="20"/>
      <c r="BO522" s="20"/>
      <c r="BP522" s="20"/>
      <c r="BQ522" s="20"/>
      <c r="BR522" s="20"/>
      <c r="BS522" s="20"/>
      <c r="BT522" s="20"/>
    </row>
    <row r="523" spans="1:72" ht="20.25" hidden="1" customHeight="1" x14ac:dyDescent="0.25">
      <c r="A523" s="6">
        <v>1</v>
      </c>
      <c r="B523" s="553" t="s">
        <v>197</v>
      </c>
      <c r="C523" s="409"/>
      <c r="D523" s="3"/>
      <c r="E523" s="3"/>
      <c r="F523" s="3"/>
      <c r="G523" s="3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20"/>
      <c r="AT523" s="20"/>
      <c r="AU523" s="20"/>
      <c r="AV523" s="20"/>
      <c r="AW523" s="20"/>
      <c r="AX523" s="20"/>
      <c r="AY523" s="20"/>
      <c r="AZ523" s="20"/>
      <c r="BA523" s="20"/>
      <c r="BB523" s="20"/>
      <c r="BC523" s="20"/>
      <c r="BD523" s="20"/>
      <c r="BE523" s="20"/>
      <c r="BF523" s="20"/>
      <c r="BG523" s="20"/>
      <c r="BH523" s="20"/>
      <c r="BI523" s="20"/>
      <c r="BJ523" s="20"/>
      <c r="BK523" s="20"/>
      <c r="BL523" s="20"/>
      <c r="BM523" s="20"/>
      <c r="BN523" s="20"/>
      <c r="BO523" s="20"/>
      <c r="BP523" s="20"/>
      <c r="BQ523" s="20"/>
      <c r="BR523" s="20"/>
      <c r="BS523" s="20"/>
      <c r="BT523" s="20"/>
    </row>
    <row r="524" spans="1:72" hidden="1" x14ac:dyDescent="0.25">
      <c r="A524" s="6">
        <v>1</v>
      </c>
      <c r="B524" s="356" t="s">
        <v>4</v>
      </c>
      <c r="C524" s="409"/>
      <c r="D524" s="3"/>
      <c r="E524" s="3"/>
      <c r="F524" s="3"/>
      <c r="G524" s="3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20"/>
      <c r="AT524" s="20"/>
      <c r="AU524" s="20"/>
      <c r="AV524" s="20"/>
      <c r="AW524" s="20"/>
      <c r="AX524" s="20"/>
      <c r="AY524" s="20"/>
      <c r="AZ524" s="20"/>
      <c r="BA524" s="20"/>
      <c r="BB524" s="20"/>
      <c r="BC524" s="20"/>
      <c r="BD524" s="20"/>
      <c r="BE524" s="20"/>
      <c r="BF524" s="20"/>
      <c r="BG524" s="20"/>
      <c r="BH524" s="20"/>
      <c r="BI524" s="20"/>
      <c r="BJ524" s="20"/>
      <c r="BK524" s="20"/>
      <c r="BL524" s="20"/>
      <c r="BM524" s="20"/>
      <c r="BN524" s="20"/>
      <c r="BO524" s="20"/>
      <c r="BP524" s="20"/>
      <c r="BQ524" s="20"/>
      <c r="BR524" s="20"/>
      <c r="BS524" s="20"/>
      <c r="BT524" s="20"/>
    </row>
    <row r="525" spans="1:72" hidden="1" x14ac:dyDescent="0.25">
      <c r="A525" s="6">
        <v>1</v>
      </c>
      <c r="B525" s="4" t="s">
        <v>37</v>
      </c>
      <c r="C525" s="231">
        <v>340</v>
      </c>
      <c r="D525" s="3">
        <v>650</v>
      </c>
      <c r="E525" s="227">
        <v>10.5</v>
      </c>
      <c r="F525" s="3">
        <f>ROUND(G525/C525,0)</f>
        <v>20</v>
      </c>
      <c r="G525" s="3">
        <f>ROUND(D525*E525,0)</f>
        <v>6825</v>
      </c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20"/>
      <c r="AT525" s="20"/>
      <c r="AU525" s="20"/>
      <c r="AV525" s="20"/>
      <c r="AW525" s="20"/>
      <c r="AX525" s="20"/>
      <c r="AY525" s="20"/>
      <c r="AZ525" s="20"/>
      <c r="BA525" s="20"/>
      <c r="BB525" s="20"/>
      <c r="BC525" s="20"/>
      <c r="BD525" s="20"/>
      <c r="BE525" s="20"/>
      <c r="BF525" s="20"/>
      <c r="BG525" s="20"/>
      <c r="BH525" s="20"/>
      <c r="BI525" s="20"/>
      <c r="BJ525" s="20"/>
      <c r="BK525" s="20"/>
      <c r="BL525" s="20"/>
      <c r="BM525" s="20"/>
      <c r="BN525" s="20"/>
      <c r="BO525" s="20"/>
      <c r="BP525" s="20"/>
      <c r="BQ525" s="20"/>
      <c r="BR525" s="20"/>
      <c r="BS525" s="20"/>
      <c r="BT525" s="20"/>
    </row>
    <row r="526" spans="1:72" hidden="1" x14ac:dyDescent="0.25">
      <c r="A526" s="6">
        <v>1</v>
      </c>
      <c r="B526" s="4" t="s">
        <v>26</v>
      </c>
      <c r="C526" s="231">
        <v>320</v>
      </c>
      <c r="D526" s="3">
        <v>100</v>
      </c>
      <c r="E526" s="227">
        <v>9</v>
      </c>
      <c r="F526" s="3">
        <f>ROUND(G526/C526,0)</f>
        <v>3</v>
      </c>
      <c r="G526" s="3">
        <f>ROUND(D526*E526,0)</f>
        <v>900</v>
      </c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20"/>
      <c r="AT526" s="20"/>
      <c r="AU526" s="20"/>
      <c r="AV526" s="20"/>
      <c r="AW526" s="20"/>
      <c r="AX526" s="20"/>
      <c r="AY526" s="20"/>
      <c r="AZ526" s="20"/>
      <c r="BA526" s="20"/>
      <c r="BB526" s="20"/>
      <c r="BC526" s="20"/>
      <c r="BD526" s="20"/>
      <c r="BE526" s="20"/>
      <c r="BF526" s="20"/>
      <c r="BG526" s="20"/>
      <c r="BH526" s="20"/>
      <c r="BI526" s="20"/>
      <c r="BJ526" s="20"/>
      <c r="BK526" s="20"/>
      <c r="BL526" s="20"/>
      <c r="BM526" s="20"/>
      <c r="BN526" s="20"/>
      <c r="BO526" s="20"/>
      <c r="BP526" s="20"/>
      <c r="BQ526" s="20"/>
      <c r="BR526" s="20"/>
      <c r="BS526" s="20"/>
      <c r="BT526" s="20"/>
    </row>
    <row r="527" spans="1:72" hidden="1" x14ac:dyDescent="0.25">
      <c r="A527" s="6">
        <v>1</v>
      </c>
      <c r="B527" s="4" t="s">
        <v>74</v>
      </c>
      <c r="C527" s="231">
        <v>340</v>
      </c>
      <c r="D527" s="3">
        <v>200</v>
      </c>
      <c r="E527" s="227">
        <v>8.9</v>
      </c>
      <c r="F527" s="3">
        <f>ROUND(G527/C527,0)</f>
        <v>5</v>
      </c>
      <c r="G527" s="3">
        <f>ROUND(D527*E527,0)</f>
        <v>1780</v>
      </c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20"/>
      <c r="AT527" s="20"/>
      <c r="AU527" s="20"/>
      <c r="AV527" s="20"/>
      <c r="AW527" s="20"/>
      <c r="AX527" s="20"/>
      <c r="AY527" s="20"/>
      <c r="AZ527" s="20"/>
      <c r="BA527" s="20"/>
      <c r="BB527" s="20"/>
      <c r="BC527" s="20"/>
      <c r="BD527" s="20"/>
      <c r="BE527" s="20"/>
      <c r="BF527" s="20"/>
      <c r="BG527" s="20"/>
      <c r="BH527" s="20"/>
      <c r="BI527" s="20"/>
      <c r="BJ527" s="20"/>
      <c r="BK527" s="20"/>
      <c r="BL527" s="20"/>
      <c r="BM527" s="20"/>
      <c r="BN527" s="20"/>
      <c r="BO527" s="20"/>
      <c r="BP527" s="20"/>
      <c r="BQ527" s="20"/>
      <c r="BR527" s="20"/>
      <c r="BS527" s="20"/>
      <c r="BT527" s="20"/>
    </row>
    <row r="528" spans="1:72" hidden="1" x14ac:dyDescent="0.25">
      <c r="A528" s="6">
        <v>1</v>
      </c>
      <c r="B528" s="4" t="s">
        <v>51</v>
      </c>
      <c r="C528" s="231">
        <v>340</v>
      </c>
      <c r="D528" s="3">
        <f>150-5</f>
        <v>145</v>
      </c>
      <c r="E528" s="227">
        <v>6</v>
      </c>
      <c r="F528" s="3">
        <f>ROUND(G528/C528,0)</f>
        <v>3</v>
      </c>
      <c r="G528" s="3">
        <f>ROUND(D528*E528,0)</f>
        <v>870</v>
      </c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20"/>
      <c r="AT528" s="20"/>
      <c r="AU528" s="20"/>
      <c r="AV528" s="20"/>
      <c r="AW528" s="20"/>
      <c r="AX528" s="20"/>
      <c r="AY528" s="20"/>
      <c r="AZ528" s="20"/>
      <c r="BA528" s="20"/>
      <c r="BB528" s="20"/>
      <c r="BC528" s="20"/>
      <c r="BD528" s="20"/>
      <c r="BE528" s="20"/>
      <c r="BF528" s="20"/>
      <c r="BG528" s="20"/>
      <c r="BH528" s="20"/>
      <c r="BI528" s="20"/>
      <c r="BJ528" s="20"/>
      <c r="BK528" s="20"/>
      <c r="BL528" s="20"/>
      <c r="BM528" s="20"/>
      <c r="BN528" s="20"/>
      <c r="BO528" s="20"/>
      <c r="BP528" s="20"/>
      <c r="BQ528" s="20"/>
      <c r="BR528" s="20"/>
      <c r="BS528" s="20"/>
      <c r="BT528" s="20"/>
    </row>
    <row r="529" spans="1:72" hidden="1" x14ac:dyDescent="0.25">
      <c r="A529" s="6">
        <v>1</v>
      </c>
      <c r="B529" s="322" t="s">
        <v>5</v>
      </c>
      <c r="C529" s="409"/>
      <c r="D529" s="18">
        <f>SUM(D525:D528)</f>
        <v>1095</v>
      </c>
      <c r="E529" s="17">
        <f>G529/D529</f>
        <v>9.474885844748858</v>
      </c>
      <c r="F529" s="18">
        <f>SUM(F525:F528)</f>
        <v>31</v>
      </c>
      <c r="G529" s="18">
        <f>SUM(G525:G528)</f>
        <v>10375</v>
      </c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20"/>
      <c r="AT529" s="20"/>
      <c r="AU529" s="20"/>
      <c r="AV529" s="20"/>
      <c r="AW529" s="20"/>
      <c r="AX529" s="20"/>
      <c r="AY529" s="20"/>
      <c r="AZ529" s="20"/>
      <c r="BA529" s="20"/>
      <c r="BB529" s="20"/>
      <c r="BC529" s="20"/>
      <c r="BD529" s="20"/>
      <c r="BE529" s="20"/>
      <c r="BF529" s="20"/>
      <c r="BG529" s="20"/>
      <c r="BH529" s="20"/>
      <c r="BI529" s="20"/>
      <c r="BJ529" s="20"/>
      <c r="BK529" s="20"/>
      <c r="BL529" s="20"/>
      <c r="BM529" s="20"/>
      <c r="BN529" s="20"/>
      <c r="BO529" s="20"/>
      <c r="BP529" s="20"/>
      <c r="BQ529" s="20"/>
      <c r="BR529" s="20"/>
      <c r="BS529" s="20"/>
      <c r="BT529" s="20"/>
    </row>
    <row r="530" spans="1:72" s="46" customFormat="1" ht="18.75" hidden="1" customHeight="1" x14ac:dyDescent="0.25">
      <c r="A530" s="6">
        <v>1</v>
      </c>
      <c r="B530" s="21" t="s">
        <v>205</v>
      </c>
      <c r="C530" s="21"/>
      <c r="D530" s="74"/>
      <c r="E530" s="45"/>
      <c r="F530" s="45"/>
      <c r="G530" s="45"/>
    </row>
    <row r="531" spans="1:72" s="46" customFormat="1" ht="30" hidden="1" x14ac:dyDescent="0.25">
      <c r="A531" s="6">
        <v>1</v>
      </c>
      <c r="B531" s="23" t="s">
        <v>323</v>
      </c>
      <c r="C531" s="47"/>
      <c r="D531" s="45">
        <f>SUM(D533,D534,D535,D536)+D532/2.7</f>
        <v>23607.037037037036</v>
      </c>
      <c r="E531" s="45"/>
      <c r="F531" s="45"/>
      <c r="G531" s="45"/>
    </row>
    <row r="532" spans="1:72" s="46" customFormat="1" hidden="1" x14ac:dyDescent="0.25">
      <c r="A532" s="6">
        <v>1</v>
      </c>
      <c r="B532" s="23" t="s">
        <v>286</v>
      </c>
      <c r="C532" s="28"/>
      <c r="D532" s="3">
        <v>100</v>
      </c>
      <c r="E532" s="28"/>
      <c r="F532" s="28"/>
      <c r="G532" s="28"/>
    </row>
    <row r="533" spans="1:72" s="46" customFormat="1" hidden="1" x14ac:dyDescent="0.25">
      <c r="A533" s="6">
        <v>1</v>
      </c>
      <c r="B533" s="48" t="s">
        <v>206</v>
      </c>
      <c r="C533" s="47"/>
      <c r="D533" s="45"/>
      <c r="E533" s="45"/>
      <c r="F533" s="45"/>
      <c r="G533" s="45"/>
    </row>
    <row r="534" spans="1:72" s="46" customFormat="1" ht="17.25" hidden="1" customHeight="1" x14ac:dyDescent="0.25">
      <c r="A534" s="6">
        <v>1</v>
      </c>
      <c r="B534" s="48" t="s">
        <v>207</v>
      </c>
      <c r="C534" s="47"/>
      <c r="D534" s="3">
        <v>700</v>
      </c>
      <c r="E534" s="45"/>
      <c r="F534" s="45"/>
      <c r="G534" s="45"/>
    </row>
    <row r="535" spans="1:72" s="46" customFormat="1" ht="30" hidden="1" x14ac:dyDescent="0.25">
      <c r="A535" s="6">
        <v>1</v>
      </c>
      <c r="B535" s="48" t="s">
        <v>208</v>
      </c>
      <c r="C535" s="47"/>
      <c r="D535" s="3">
        <v>70</v>
      </c>
      <c r="E535" s="45"/>
      <c r="F535" s="45"/>
      <c r="G535" s="45"/>
    </row>
    <row r="536" spans="1:72" s="46" customFormat="1" hidden="1" x14ac:dyDescent="0.25">
      <c r="A536" s="6">
        <v>1</v>
      </c>
      <c r="B536" s="23" t="s">
        <v>209</v>
      </c>
      <c r="C536" s="47"/>
      <c r="D536" s="3">
        <v>22800</v>
      </c>
      <c r="E536" s="45"/>
      <c r="F536" s="45"/>
      <c r="G536" s="45"/>
    </row>
    <row r="537" spans="1:72" s="46" customFormat="1" ht="45" hidden="1" x14ac:dyDescent="0.25">
      <c r="A537" s="6">
        <v>1</v>
      </c>
      <c r="B537" s="23" t="s">
        <v>285</v>
      </c>
      <c r="C537" s="47"/>
      <c r="D537" s="13">
        <v>27</v>
      </c>
      <c r="E537" s="45"/>
      <c r="F537" s="45"/>
      <c r="G537" s="45"/>
      <c r="H537" s="75"/>
    </row>
    <row r="538" spans="1:72" hidden="1" x14ac:dyDescent="0.25">
      <c r="A538" s="6">
        <v>1</v>
      </c>
      <c r="B538" s="24" t="s">
        <v>118</v>
      </c>
      <c r="C538" s="22"/>
      <c r="D538" s="3">
        <f>D539+D540</f>
        <v>14006.470588235294</v>
      </c>
      <c r="E538" s="3"/>
      <c r="F538" s="3"/>
      <c r="G538" s="3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  <c r="AR538" s="20"/>
      <c r="AS538" s="20"/>
      <c r="AT538" s="20"/>
      <c r="AU538" s="20"/>
      <c r="AV538" s="20"/>
      <c r="AW538" s="20"/>
      <c r="AX538" s="20"/>
      <c r="AY538" s="20"/>
      <c r="AZ538" s="20"/>
      <c r="BA538" s="20"/>
      <c r="BB538" s="20"/>
      <c r="BC538" s="20"/>
      <c r="BD538" s="20"/>
      <c r="BE538" s="20"/>
      <c r="BF538" s="20"/>
      <c r="BG538" s="20"/>
      <c r="BH538" s="20"/>
      <c r="BI538" s="20"/>
      <c r="BJ538" s="20"/>
      <c r="BK538" s="20"/>
      <c r="BL538" s="20"/>
      <c r="BM538" s="20"/>
      <c r="BN538" s="20"/>
      <c r="BO538" s="20"/>
      <c r="BP538" s="20"/>
      <c r="BQ538" s="20"/>
      <c r="BR538" s="20"/>
      <c r="BS538" s="20"/>
      <c r="BT538" s="20"/>
    </row>
    <row r="539" spans="1:72" hidden="1" x14ac:dyDescent="0.25">
      <c r="A539" s="6">
        <v>1</v>
      </c>
      <c r="B539" s="24" t="s">
        <v>259</v>
      </c>
      <c r="C539" s="207"/>
      <c r="D539" s="3">
        <v>12830</v>
      </c>
      <c r="E539" s="3"/>
      <c r="F539" s="3"/>
      <c r="G539" s="3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20"/>
      <c r="AQ539" s="20"/>
      <c r="AR539" s="20"/>
      <c r="AS539" s="20"/>
      <c r="AT539" s="20"/>
      <c r="AU539" s="20"/>
      <c r="AV539" s="20"/>
      <c r="AW539" s="20"/>
      <c r="AX539" s="20"/>
      <c r="AY539" s="20"/>
      <c r="AZ539" s="20"/>
      <c r="BA539" s="20"/>
      <c r="BB539" s="20"/>
      <c r="BC539" s="20"/>
      <c r="BD539" s="20"/>
      <c r="BE539" s="20"/>
      <c r="BF539" s="20"/>
      <c r="BG539" s="20"/>
      <c r="BH539" s="20"/>
      <c r="BI539" s="20"/>
      <c r="BJ539" s="20"/>
      <c r="BK539" s="20"/>
      <c r="BL539" s="20"/>
      <c r="BM539" s="20"/>
      <c r="BN539" s="20"/>
      <c r="BO539" s="20"/>
      <c r="BP539" s="20"/>
      <c r="BQ539" s="20"/>
      <c r="BR539" s="20"/>
      <c r="BS539" s="20"/>
      <c r="BT539" s="20"/>
    </row>
    <row r="540" spans="1:72" hidden="1" x14ac:dyDescent="0.25">
      <c r="A540" s="6">
        <v>1</v>
      </c>
      <c r="B540" s="24" t="s">
        <v>261</v>
      </c>
      <c r="C540" s="207"/>
      <c r="D540" s="13">
        <f>D541/8.5</f>
        <v>1176.4705882352941</v>
      </c>
      <c r="E540" s="3"/>
      <c r="F540" s="3"/>
      <c r="G540" s="3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  <c r="AR540" s="20"/>
      <c r="AS540" s="20"/>
      <c r="AT540" s="20"/>
      <c r="AU540" s="20"/>
      <c r="AV540" s="20"/>
      <c r="AW540" s="20"/>
      <c r="AX540" s="20"/>
      <c r="AY540" s="20"/>
      <c r="AZ540" s="20"/>
      <c r="BA540" s="20"/>
      <c r="BB540" s="20"/>
      <c r="BC540" s="20"/>
      <c r="BD540" s="20"/>
      <c r="BE540" s="20"/>
      <c r="BF540" s="20"/>
      <c r="BG540" s="20"/>
      <c r="BH540" s="20"/>
      <c r="BI540" s="20"/>
      <c r="BJ540" s="20"/>
      <c r="BK540" s="20"/>
      <c r="BL540" s="20"/>
      <c r="BM540" s="20"/>
      <c r="BN540" s="20"/>
      <c r="BO540" s="20"/>
      <c r="BP540" s="20"/>
      <c r="BQ540" s="20"/>
      <c r="BR540" s="20"/>
      <c r="BS540" s="20"/>
      <c r="BT540" s="20"/>
    </row>
    <row r="541" spans="1:72" s="46" customFormat="1" hidden="1" x14ac:dyDescent="0.25">
      <c r="A541" s="6">
        <v>1</v>
      </c>
      <c r="B541" s="44" t="s">
        <v>260</v>
      </c>
      <c r="C541" s="262"/>
      <c r="D541" s="3">
        <v>10000</v>
      </c>
      <c r="E541" s="45"/>
      <c r="F541" s="45"/>
      <c r="G541" s="45"/>
    </row>
    <row r="542" spans="1:72" s="46" customFormat="1" ht="15.75" hidden="1" customHeight="1" x14ac:dyDescent="0.25">
      <c r="A542" s="6">
        <v>1</v>
      </c>
      <c r="B542" s="49" t="s">
        <v>210</v>
      </c>
      <c r="C542" s="50"/>
      <c r="D542" s="47">
        <f>D531+ROUND(D539*3.2,0)+D541/3.9</f>
        <v>67227.139601139599</v>
      </c>
      <c r="E542" s="51"/>
      <c r="F542" s="51"/>
      <c r="G542" s="51"/>
    </row>
    <row r="543" spans="1:72" s="46" customFormat="1" ht="15.75" hidden="1" customHeight="1" x14ac:dyDescent="0.25">
      <c r="A543" s="6">
        <v>1</v>
      </c>
      <c r="B543" s="21" t="s">
        <v>153</v>
      </c>
      <c r="C543" s="22"/>
      <c r="D543" s="3"/>
      <c r="E543" s="51"/>
      <c r="F543" s="51"/>
      <c r="G543" s="51"/>
    </row>
    <row r="544" spans="1:72" s="46" customFormat="1" ht="35.25" hidden="1" customHeight="1" x14ac:dyDescent="0.25">
      <c r="A544" s="6">
        <v>1</v>
      </c>
      <c r="B544" s="23" t="s">
        <v>323</v>
      </c>
      <c r="C544" s="22"/>
      <c r="D544" s="3">
        <f>SUM(D545,D546,D553,D559,D560,D561)</f>
        <v>11482</v>
      </c>
      <c r="E544" s="51"/>
      <c r="F544" s="51"/>
      <c r="G544" s="51"/>
    </row>
    <row r="545" spans="1:7" s="46" customFormat="1" ht="15.75" hidden="1" customHeight="1" x14ac:dyDescent="0.25">
      <c r="A545" s="6">
        <v>1</v>
      </c>
      <c r="B545" s="23" t="s">
        <v>206</v>
      </c>
      <c r="C545" s="22"/>
      <c r="D545" s="3"/>
      <c r="E545" s="51"/>
      <c r="F545" s="51"/>
      <c r="G545" s="51"/>
    </row>
    <row r="546" spans="1:7" s="46" customFormat="1" ht="15.75" hidden="1" customHeight="1" x14ac:dyDescent="0.25">
      <c r="A546" s="6">
        <v>1</v>
      </c>
      <c r="B546" s="48" t="s">
        <v>211</v>
      </c>
      <c r="C546" s="22"/>
      <c r="D546" s="3">
        <f>D547+D548+D549+D551</f>
        <v>3964</v>
      </c>
      <c r="E546" s="51"/>
      <c r="F546" s="51"/>
      <c r="G546" s="51"/>
    </row>
    <row r="547" spans="1:7" s="46" customFormat="1" ht="19.5" hidden="1" customHeight="1" x14ac:dyDescent="0.25">
      <c r="A547" s="6">
        <v>1</v>
      </c>
      <c r="B547" s="52" t="s">
        <v>212</v>
      </c>
      <c r="C547" s="22"/>
      <c r="D547" s="45">
        <f>5080-2580</f>
        <v>2500</v>
      </c>
      <c r="E547" s="51"/>
      <c r="F547" s="51"/>
      <c r="G547" s="51"/>
    </row>
    <row r="548" spans="1:7" s="46" customFormat="1" ht="15.75" hidden="1" customHeight="1" x14ac:dyDescent="0.25">
      <c r="A548" s="6">
        <v>1</v>
      </c>
      <c r="B548" s="52" t="s">
        <v>213</v>
      </c>
      <c r="C548" s="22"/>
      <c r="D548" s="45">
        <v>1464</v>
      </c>
      <c r="E548" s="51"/>
      <c r="F548" s="51"/>
      <c r="G548" s="51"/>
    </row>
    <row r="549" spans="1:7" s="46" customFormat="1" ht="30.75" hidden="1" customHeight="1" x14ac:dyDescent="0.25">
      <c r="A549" s="6">
        <v>1</v>
      </c>
      <c r="B549" s="52" t="s">
        <v>214</v>
      </c>
      <c r="C549" s="22"/>
      <c r="D549" s="45"/>
      <c r="E549" s="51"/>
      <c r="F549" s="51"/>
      <c r="G549" s="51"/>
    </row>
    <row r="550" spans="1:7" s="46" customFormat="1" hidden="1" x14ac:dyDescent="0.25">
      <c r="A550" s="6">
        <v>1</v>
      </c>
      <c r="B550" s="52" t="s">
        <v>215</v>
      </c>
      <c r="C550" s="22"/>
      <c r="D550" s="45"/>
      <c r="E550" s="51"/>
      <c r="F550" s="51"/>
      <c r="G550" s="51"/>
    </row>
    <row r="551" spans="1:7" s="46" customFormat="1" ht="30" hidden="1" x14ac:dyDescent="0.25">
      <c r="A551" s="6">
        <v>1</v>
      </c>
      <c r="B551" s="52" t="s">
        <v>216</v>
      </c>
      <c r="C551" s="22"/>
      <c r="D551" s="45"/>
      <c r="E551" s="51"/>
      <c r="F551" s="51"/>
      <c r="G551" s="51"/>
    </row>
    <row r="552" spans="1:7" s="46" customFormat="1" hidden="1" x14ac:dyDescent="0.25">
      <c r="A552" s="6">
        <v>1</v>
      </c>
      <c r="B552" s="52" t="s">
        <v>215</v>
      </c>
      <c r="C552" s="22"/>
      <c r="D552" s="76"/>
      <c r="E552" s="51"/>
      <c r="F552" s="51"/>
      <c r="G552" s="51"/>
    </row>
    <row r="553" spans="1:7" s="46" customFormat="1" ht="30" hidden="1" customHeight="1" x14ac:dyDescent="0.25">
      <c r="A553" s="6">
        <v>1</v>
      </c>
      <c r="B553" s="48" t="s">
        <v>217</v>
      </c>
      <c r="C553" s="22"/>
      <c r="D553" s="3">
        <f>SUM(D554,D555,D557)</f>
        <v>7518</v>
      </c>
      <c r="E553" s="51"/>
      <c r="F553" s="51"/>
      <c r="G553" s="51"/>
    </row>
    <row r="554" spans="1:7" s="46" customFormat="1" ht="30" hidden="1" x14ac:dyDescent="0.25">
      <c r="A554" s="6">
        <v>1</v>
      </c>
      <c r="B554" s="52" t="s">
        <v>218</v>
      </c>
      <c r="C554" s="22"/>
      <c r="D554" s="3">
        <v>4116</v>
      </c>
      <c r="E554" s="51"/>
      <c r="F554" s="51"/>
      <c r="G554" s="51"/>
    </row>
    <row r="555" spans="1:7" s="46" customFormat="1" ht="45" hidden="1" x14ac:dyDescent="0.25">
      <c r="A555" s="6">
        <v>1</v>
      </c>
      <c r="B555" s="52" t="s">
        <v>219</v>
      </c>
      <c r="C555" s="22"/>
      <c r="D555" s="42">
        <v>2816</v>
      </c>
      <c r="E555" s="51"/>
      <c r="F555" s="51"/>
      <c r="G555" s="51"/>
    </row>
    <row r="556" spans="1:7" s="46" customFormat="1" hidden="1" x14ac:dyDescent="0.25">
      <c r="A556" s="6">
        <v>1</v>
      </c>
      <c r="B556" s="52" t="s">
        <v>215</v>
      </c>
      <c r="C556" s="22"/>
      <c r="D556" s="42">
        <v>1844</v>
      </c>
      <c r="E556" s="51"/>
      <c r="F556" s="51"/>
      <c r="G556" s="51"/>
    </row>
    <row r="557" spans="1:7" s="46" customFormat="1" ht="45" hidden="1" x14ac:dyDescent="0.25">
      <c r="A557" s="6">
        <v>1</v>
      </c>
      <c r="B557" s="52" t="s">
        <v>220</v>
      </c>
      <c r="C557" s="22"/>
      <c r="D557" s="42">
        <v>586</v>
      </c>
      <c r="E557" s="51"/>
      <c r="F557" s="51"/>
      <c r="G557" s="51"/>
    </row>
    <row r="558" spans="1:7" s="46" customFormat="1" hidden="1" x14ac:dyDescent="0.25">
      <c r="A558" s="6">
        <v>1</v>
      </c>
      <c r="B558" s="52" t="s">
        <v>215</v>
      </c>
      <c r="C558" s="22"/>
      <c r="D558" s="42">
        <v>108</v>
      </c>
      <c r="E558" s="51"/>
      <c r="F558" s="51"/>
      <c r="G558" s="51"/>
    </row>
    <row r="559" spans="1:7" s="46" customFormat="1" ht="31.5" hidden="1" customHeight="1" x14ac:dyDescent="0.25">
      <c r="A559" s="6">
        <v>1</v>
      </c>
      <c r="B559" s="48" t="s">
        <v>221</v>
      </c>
      <c r="C559" s="22"/>
      <c r="D559" s="3"/>
      <c r="E559" s="51"/>
      <c r="F559" s="51"/>
      <c r="G559" s="51"/>
    </row>
    <row r="560" spans="1:7" s="46" customFormat="1" ht="15.75" hidden="1" customHeight="1" x14ac:dyDescent="0.25">
      <c r="A560" s="6">
        <v>1</v>
      </c>
      <c r="B560" s="48" t="s">
        <v>222</v>
      </c>
      <c r="C560" s="22"/>
      <c r="D560" s="3"/>
      <c r="E560" s="51"/>
      <c r="F560" s="51"/>
      <c r="G560" s="51"/>
    </row>
    <row r="561" spans="1:72" s="46" customFormat="1" ht="15.75" hidden="1" customHeight="1" x14ac:dyDescent="0.25">
      <c r="A561" s="6">
        <v>1</v>
      </c>
      <c r="B561" s="23" t="s">
        <v>223</v>
      </c>
      <c r="C561" s="22"/>
      <c r="D561" s="3"/>
      <c r="E561" s="51"/>
      <c r="F561" s="51"/>
      <c r="G561" s="51"/>
    </row>
    <row r="562" spans="1:72" s="46" customFormat="1" hidden="1" x14ac:dyDescent="0.25">
      <c r="A562" s="6">
        <v>1</v>
      </c>
      <c r="B562" s="24" t="s">
        <v>118</v>
      </c>
      <c r="C562" s="47"/>
      <c r="D562" s="45"/>
      <c r="E562" s="51"/>
      <c r="F562" s="51"/>
      <c r="G562" s="51"/>
    </row>
    <row r="563" spans="1:72" s="46" customFormat="1" hidden="1" x14ac:dyDescent="0.25">
      <c r="A563" s="6">
        <v>1</v>
      </c>
      <c r="B563" s="44" t="s">
        <v>150</v>
      </c>
      <c r="C563" s="47"/>
      <c r="D563" s="76"/>
      <c r="E563" s="51"/>
      <c r="F563" s="51"/>
      <c r="G563" s="51"/>
    </row>
    <row r="564" spans="1:72" ht="30" hidden="1" x14ac:dyDescent="0.25">
      <c r="A564" s="6">
        <v>1</v>
      </c>
      <c r="B564" s="24" t="s">
        <v>119</v>
      </c>
      <c r="C564" s="22"/>
      <c r="D564" s="3">
        <f>3000-754-D566</f>
        <v>1846</v>
      </c>
      <c r="E564" s="3"/>
      <c r="F564" s="3"/>
      <c r="G564" s="3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  <c r="AP564" s="20"/>
      <c r="AQ564" s="20"/>
      <c r="AR564" s="20"/>
      <c r="AS564" s="20"/>
      <c r="AT564" s="20"/>
      <c r="AU564" s="20"/>
      <c r="AV564" s="20"/>
      <c r="AW564" s="20"/>
      <c r="AX564" s="20"/>
      <c r="AY564" s="20"/>
      <c r="AZ564" s="20"/>
      <c r="BA564" s="20"/>
      <c r="BB564" s="20"/>
      <c r="BC564" s="20"/>
      <c r="BD564" s="20"/>
      <c r="BE564" s="20"/>
      <c r="BF564" s="20"/>
      <c r="BG564" s="20"/>
      <c r="BH564" s="20"/>
      <c r="BI564" s="20"/>
      <c r="BJ564" s="20"/>
      <c r="BK564" s="20"/>
      <c r="BL564" s="20"/>
      <c r="BM564" s="20"/>
      <c r="BN564" s="20"/>
      <c r="BO564" s="20"/>
      <c r="BP564" s="20"/>
      <c r="BQ564" s="20"/>
      <c r="BR564" s="20"/>
      <c r="BS564" s="20"/>
      <c r="BT564" s="20"/>
    </row>
    <row r="565" spans="1:72" s="46" customFormat="1" ht="15.75" hidden="1" customHeight="1" x14ac:dyDescent="0.25">
      <c r="A565" s="6">
        <v>1</v>
      </c>
      <c r="B565" s="24" t="s">
        <v>224</v>
      </c>
      <c r="C565" s="22"/>
      <c r="D565" s="3"/>
      <c r="E565" s="51"/>
      <c r="F565" s="51"/>
      <c r="G565" s="51"/>
    </row>
    <row r="566" spans="1:72" s="46" customFormat="1" ht="45" hidden="1" x14ac:dyDescent="0.25">
      <c r="A566" s="6">
        <v>1</v>
      </c>
      <c r="B566" s="24" t="s">
        <v>296</v>
      </c>
      <c r="C566" s="22"/>
      <c r="D566" s="3">
        <v>400</v>
      </c>
      <c r="E566" s="51"/>
      <c r="F566" s="51"/>
      <c r="G566" s="51"/>
    </row>
    <row r="567" spans="1:72" s="46" customFormat="1" hidden="1" x14ac:dyDescent="0.25">
      <c r="A567" s="6">
        <v>1</v>
      </c>
      <c r="B567" s="54" t="s">
        <v>152</v>
      </c>
      <c r="C567" s="22"/>
      <c r="D567" s="18">
        <f>D544+ROUND(D562*3.2,0)+D564+D566</f>
        <v>13728</v>
      </c>
      <c r="E567" s="51"/>
      <c r="F567" s="51"/>
      <c r="G567" s="51"/>
    </row>
    <row r="568" spans="1:72" s="46" customFormat="1" hidden="1" x14ac:dyDescent="0.25">
      <c r="A568" s="6">
        <v>1</v>
      </c>
      <c r="B568" s="55" t="s">
        <v>151</v>
      </c>
      <c r="C568" s="22"/>
      <c r="D568" s="18">
        <f>SUM(D542,D567)</f>
        <v>80955.139601139599</v>
      </c>
      <c r="E568" s="51"/>
      <c r="F568" s="51"/>
      <c r="G568" s="51"/>
    </row>
    <row r="569" spans="1:72" ht="15" hidden="1" customHeight="1" x14ac:dyDescent="0.25">
      <c r="A569" s="6">
        <v>1</v>
      </c>
      <c r="B569" s="27" t="s">
        <v>7</v>
      </c>
      <c r="C569" s="587"/>
      <c r="D569" s="3"/>
      <c r="E569" s="3"/>
      <c r="F569" s="3"/>
      <c r="G569" s="3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  <c r="AP569" s="20"/>
      <c r="AQ569" s="20"/>
      <c r="AR569" s="20"/>
      <c r="AS569" s="20"/>
      <c r="AT569" s="20"/>
      <c r="AU569" s="20"/>
      <c r="AV569" s="20"/>
      <c r="AW569" s="20"/>
      <c r="AX569" s="20"/>
      <c r="AY569" s="20"/>
      <c r="AZ569" s="20"/>
      <c r="BA569" s="20"/>
      <c r="BB569" s="20"/>
      <c r="BC569" s="20"/>
      <c r="BD569" s="20"/>
      <c r="BE569" s="20"/>
      <c r="BF569" s="20"/>
      <c r="BG569" s="20"/>
      <c r="BH569" s="20"/>
      <c r="BI569" s="20"/>
      <c r="BJ569" s="20"/>
      <c r="BK569" s="20"/>
      <c r="BL569" s="20"/>
      <c r="BM569" s="20"/>
      <c r="BN569" s="20"/>
      <c r="BO569" s="20"/>
      <c r="BP569" s="20"/>
      <c r="BQ569" s="20"/>
      <c r="BR569" s="20"/>
      <c r="BS569" s="20"/>
      <c r="BT569" s="20"/>
    </row>
    <row r="570" spans="1:72" ht="15" hidden="1" customHeight="1" x14ac:dyDescent="0.25">
      <c r="A570" s="6">
        <v>1</v>
      </c>
      <c r="B570" s="43" t="s">
        <v>139</v>
      </c>
      <c r="C570" s="587"/>
      <c r="D570" s="3"/>
      <c r="E570" s="3"/>
      <c r="F570" s="3"/>
      <c r="G570" s="3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  <c r="AP570" s="20"/>
      <c r="AQ570" s="20"/>
      <c r="AR570" s="20"/>
      <c r="AS570" s="20"/>
      <c r="AT570" s="20"/>
      <c r="AU570" s="20"/>
      <c r="AV570" s="20"/>
      <c r="AW570" s="20"/>
      <c r="AX570" s="20"/>
      <c r="AY570" s="20"/>
      <c r="AZ570" s="20"/>
      <c r="BA570" s="20"/>
      <c r="BB570" s="20"/>
      <c r="BC570" s="20"/>
      <c r="BD570" s="20"/>
      <c r="BE570" s="20"/>
      <c r="BF570" s="20"/>
      <c r="BG570" s="20"/>
      <c r="BH570" s="20"/>
      <c r="BI570" s="20"/>
      <c r="BJ570" s="20"/>
      <c r="BK570" s="20"/>
      <c r="BL570" s="20"/>
      <c r="BM570" s="20"/>
      <c r="BN570" s="20"/>
      <c r="BO570" s="20"/>
      <c r="BP570" s="20"/>
      <c r="BQ570" s="20"/>
      <c r="BR570" s="20"/>
      <c r="BS570" s="20"/>
      <c r="BT570" s="20"/>
    </row>
    <row r="571" spans="1:72" ht="15" hidden="1" customHeight="1" x14ac:dyDescent="0.25">
      <c r="A571" s="6">
        <v>1</v>
      </c>
      <c r="B571" s="29" t="s">
        <v>21</v>
      </c>
      <c r="C571" s="99">
        <v>300</v>
      </c>
      <c r="D571" s="45">
        <v>380</v>
      </c>
      <c r="E571" s="60">
        <v>10.5</v>
      </c>
      <c r="F571" s="100">
        <f>ROUND(G571/C571,0)</f>
        <v>13</v>
      </c>
      <c r="G571" s="100">
        <f>ROUND(D571*E571,0)</f>
        <v>3990</v>
      </c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  <c r="AP571" s="20"/>
      <c r="AQ571" s="20"/>
      <c r="AR571" s="20"/>
      <c r="AS571" s="20"/>
      <c r="AT571" s="20"/>
      <c r="AU571" s="20"/>
      <c r="AV571" s="20"/>
      <c r="AW571" s="20"/>
      <c r="AX571" s="20"/>
      <c r="AY571" s="20"/>
      <c r="AZ571" s="20"/>
      <c r="BA571" s="20"/>
      <c r="BB571" s="20"/>
      <c r="BC571" s="20"/>
      <c r="BD571" s="20"/>
      <c r="BE571" s="20"/>
      <c r="BF571" s="20"/>
      <c r="BG571" s="20"/>
      <c r="BH571" s="20"/>
      <c r="BI571" s="20"/>
      <c r="BJ571" s="20"/>
      <c r="BK571" s="20"/>
      <c r="BL571" s="20"/>
      <c r="BM571" s="20"/>
      <c r="BN571" s="20"/>
      <c r="BO571" s="20"/>
      <c r="BP571" s="20"/>
      <c r="BQ571" s="20"/>
      <c r="BR571" s="20"/>
      <c r="BS571" s="20"/>
      <c r="BT571" s="20"/>
    </row>
    <row r="572" spans="1:72" ht="15" hidden="1" customHeight="1" x14ac:dyDescent="0.25">
      <c r="A572" s="6">
        <v>1</v>
      </c>
      <c r="B572" s="59" t="s">
        <v>11</v>
      </c>
      <c r="C572" s="99">
        <v>300</v>
      </c>
      <c r="D572" s="45">
        <v>220</v>
      </c>
      <c r="E572" s="60">
        <v>10</v>
      </c>
      <c r="F572" s="100">
        <f>ROUND(G572/C572,0)</f>
        <v>7</v>
      </c>
      <c r="G572" s="100">
        <f>ROUND(D572*E572,0)</f>
        <v>2200</v>
      </c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  <c r="AP572" s="20"/>
      <c r="AQ572" s="20"/>
      <c r="AR572" s="20"/>
      <c r="AS572" s="20"/>
      <c r="AT572" s="20"/>
      <c r="AU572" s="20"/>
      <c r="AV572" s="20"/>
      <c r="AW572" s="20"/>
      <c r="AX572" s="20"/>
      <c r="AY572" s="20"/>
      <c r="AZ572" s="20"/>
      <c r="BA572" s="20"/>
      <c r="BB572" s="20"/>
      <c r="BC572" s="20"/>
      <c r="BD572" s="20"/>
      <c r="BE572" s="20"/>
      <c r="BF572" s="20"/>
      <c r="BG572" s="20"/>
      <c r="BH572" s="20"/>
      <c r="BI572" s="20"/>
      <c r="BJ572" s="20"/>
      <c r="BK572" s="20"/>
      <c r="BL572" s="20"/>
      <c r="BM572" s="20"/>
      <c r="BN572" s="20"/>
      <c r="BO572" s="20"/>
      <c r="BP572" s="20"/>
      <c r="BQ572" s="20"/>
      <c r="BR572" s="20"/>
      <c r="BS572" s="20"/>
      <c r="BT572" s="20"/>
    </row>
    <row r="573" spans="1:72" ht="15" hidden="1" customHeight="1" x14ac:dyDescent="0.25">
      <c r="A573" s="6">
        <v>1</v>
      </c>
      <c r="B573" s="29" t="s">
        <v>23</v>
      </c>
      <c r="C573" s="99">
        <v>300</v>
      </c>
      <c r="D573" s="45">
        <v>170</v>
      </c>
      <c r="E573" s="60">
        <v>6.1</v>
      </c>
      <c r="F573" s="100">
        <f>ROUND(G573/C573,0)</f>
        <v>3</v>
      </c>
      <c r="G573" s="100">
        <f>ROUND(D573*E573,0)</f>
        <v>1037</v>
      </c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20"/>
      <c r="AQ573" s="20"/>
      <c r="AR573" s="20"/>
      <c r="AS573" s="20"/>
      <c r="AT573" s="20"/>
      <c r="AU573" s="20"/>
      <c r="AV573" s="20"/>
      <c r="AW573" s="20"/>
      <c r="AX573" s="20"/>
      <c r="AY573" s="20"/>
      <c r="AZ573" s="20"/>
      <c r="BA573" s="20"/>
      <c r="BB573" s="20"/>
      <c r="BC573" s="20"/>
      <c r="BD573" s="20"/>
      <c r="BE573" s="20"/>
      <c r="BF573" s="20"/>
      <c r="BG573" s="20"/>
      <c r="BH573" s="20"/>
      <c r="BI573" s="20"/>
      <c r="BJ573" s="20"/>
      <c r="BK573" s="20"/>
      <c r="BL573" s="20"/>
      <c r="BM573" s="20"/>
      <c r="BN573" s="20"/>
      <c r="BO573" s="20"/>
      <c r="BP573" s="20"/>
      <c r="BQ573" s="20"/>
      <c r="BR573" s="20"/>
      <c r="BS573" s="20"/>
      <c r="BT573" s="20"/>
    </row>
    <row r="574" spans="1:72" ht="15" hidden="1" customHeight="1" x14ac:dyDescent="0.25">
      <c r="A574" s="6">
        <v>1</v>
      </c>
      <c r="B574" s="34" t="s">
        <v>9</v>
      </c>
      <c r="C574" s="593"/>
      <c r="D574" s="594">
        <f>D571+D572+D573</f>
        <v>770</v>
      </c>
      <c r="E574" s="17">
        <f>G574/D574</f>
        <v>9.3857142857142861</v>
      </c>
      <c r="F574" s="101">
        <f>F571+F572+F573</f>
        <v>23</v>
      </c>
      <c r="G574" s="101">
        <f>G571+G572+G573</f>
        <v>7227</v>
      </c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  <c r="AP574" s="20"/>
      <c r="AQ574" s="20"/>
      <c r="AR574" s="20"/>
      <c r="AS574" s="20"/>
      <c r="AT574" s="20"/>
      <c r="AU574" s="20"/>
      <c r="AV574" s="20"/>
      <c r="AW574" s="20"/>
      <c r="AX574" s="20"/>
      <c r="AY574" s="20"/>
      <c r="AZ574" s="20"/>
      <c r="BA574" s="20"/>
      <c r="BB574" s="20"/>
      <c r="BC574" s="20"/>
      <c r="BD574" s="20"/>
      <c r="BE574" s="20"/>
      <c r="BF574" s="20"/>
      <c r="BG574" s="20"/>
      <c r="BH574" s="20"/>
      <c r="BI574" s="20"/>
      <c r="BJ574" s="20"/>
      <c r="BK574" s="20"/>
      <c r="BL574" s="20"/>
      <c r="BM574" s="20"/>
      <c r="BN574" s="20"/>
      <c r="BO574" s="20"/>
      <c r="BP574" s="20"/>
      <c r="BQ574" s="20"/>
      <c r="BR574" s="20"/>
      <c r="BS574" s="20"/>
      <c r="BT574" s="20"/>
    </row>
    <row r="575" spans="1:72" ht="15" hidden="1" customHeight="1" x14ac:dyDescent="0.25">
      <c r="A575" s="6">
        <v>1</v>
      </c>
      <c r="B575" s="43" t="s">
        <v>20</v>
      </c>
      <c r="C575" s="593"/>
      <c r="D575" s="595"/>
      <c r="E575" s="102"/>
      <c r="F575" s="596"/>
      <c r="G575" s="596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  <c r="AP575" s="20"/>
      <c r="AQ575" s="20"/>
      <c r="AR575" s="20"/>
      <c r="AS575" s="20"/>
      <c r="AT575" s="20"/>
      <c r="AU575" s="20"/>
      <c r="AV575" s="20"/>
      <c r="AW575" s="20"/>
      <c r="AX575" s="20"/>
      <c r="AY575" s="20"/>
      <c r="AZ575" s="20"/>
      <c r="BA575" s="20"/>
      <c r="BB575" s="20"/>
      <c r="BC575" s="20"/>
      <c r="BD575" s="20"/>
      <c r="BE575" s="20"/>
      <c r="BF575" s="20"/>
      <c r="BG575" s="20"/>
      <c r="BH575" s="20"/>
      <c r="BI575" s="20"/>
      <c r="BJ575" s="20"/>
      <c r="BK575" s="20"/>
      <c r="BL575" s="20"/>
      <c r="BM575" s="20"/>
      <c r="BN575" s="20"/>
      <c r="BO575" s="20"/>
      <c r="BP575" s="20"/>
      <c r="BQ575" s="20"/>
      <c r="BR575" s="20"/>
      <c r="BS575" s="20"/>
      <c r="BT575" s="20"/>
    </row>
    <row r="576" spans="1:72" ht="15" hidden="1" customHeight="1" x14ac:dyDescent="0.25">
      <c r="A576" s="6">
        <v>1</v>
      </c>
      <c r="B576" s="29" t="s">
        <v>26</v>
      </c>
      <c r="C576" s="587">
        <v>240</v>
      </c>
      <c r="D576" s="597">
        <v>100</v>
      </c>
      <c r="E576" s="227">
        <v>8</v>
      </c>
      <c r="F576" s="141">
        <f>ROUND(G576/C576,0)</f>
        <v>3</v>
      </c>
      <c r="G576" s="141">
        <f>ROUND(D576*E576,0)</f>
        <v>800</v>
      </c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  <c r="AP576" s="20"/>
      <c r="AQ576" s="20"/>
      <c r="AR576" s="20"/>
      <c r="AS576" s="20"/>
      <c r="AT576" s="20"/>
      <c r="AU576" s="20"/>
      <c r="AV576" s="20"/>
      <c r="AW576" s="20"/>
      <c r="AX576" s="20"/>
      <c r="AY576" s="20"/>
      <c r="AZ576" s="20"/>
      <c r="BA576" s="20"/>
      <c r="BB576" s="20"/>
      <c r="BC576" s="20"/>
      <c r="BD576" s="20"/>
      <c r="BE576" s="20"/>
      <c r="BF576" s="20"/>
      <c r="BG576" s="20"/>
      <c r="BH576" s="20"/>
      <c r="BI576" s="20"/>
      <c r="BJ576" s="20"/>
      <c r="BK576" s="20"/>
      <c r="BL576" s="20"/>
      <c r="BM576" s="20"/>
      <c r="BN576" s="20"/>
      <c r="BO576" s="20"/>
      <c r="BP576" s="20"/>
      <c r="BQ576" s="20"/>
      <c r="BR576" s="20"/>
      <c r="BS576" s="20"/>
      <c r="BT576" s="20"/>
    </row>
    <row r="577" spans="1:72" ht="15" hidden="1" customHeight="1" x14ac:dyDescent="0.25">
      <c r="A577" s="6">
        <v>1</v>
      </c>
      <c r="B577" s="29" t="s">
        <v>37</v>
      </c>
      <c r="C577" s="587">
        <v>240</v>
      </c>
      <c r="D577" s="3">
        <v>690</v>
      </c>
      <c r="E577" s="227">
        <v>8</v>
      </c>
      <c r="F577" s="3">
        <f>ROUND(G577/C577,0)</f>
        <v>23</v>
      </c>
      <c r="G577" s="3">
        <f>ROUND(D577*E577,0)</f>
        <v>5520</v>
      </c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  <c r="AP577" s="20"/>
      <c r="AQ577" s="20"/>
      <c r="AR577" s="20"/>
      <c r="AS577" s="20"/>
      <c r="AT577" s="20"/>
      <c r="AU577" s="20"/>
      <c r="AV577" s="20"/>
      <c r="AW577" s="20"/>
      <c r="AX577" s="20"/>
      <c r="AY577" s="20"/>
      <c r="AZ577" s="20"/>
      <c r="BA577" s="20"/>
      <c r="BB577" s="20"/>
      <c r="BC577" s="20"/>
      <c r="BD577" s="20"/>
      <c r="BE577" s="20"/>
      <c r="BF577" s="20"/>
      <c r="BG577" s="20"/>
      <c r="BH577" s="20"/>
      <c r="BI577" s="20"/>
      <c r="BJ577" s="20"/>
      <c r="BK577" s="20"/>
      <c r="BL577" s="20"/>
      <c r="BM577" s="20"/>
      <c r="BN577" s="20"/>
      <c r="BO577" s="20"/>
      <c r="BP577" s="20"/>
      <c r="BQ577" s="20"/>
      <c r="BR577" s="20"/>
      <c r="BS577" s="20"/>
      <c r="BT577" s="20"/>
    </row>
    <row r="578" spans="1:72" ht="15" hidden="1" customHeight="1" x14ac:dyDescent="0.25">
      <c r="A578" s="6">
        <v>1</v>
      </c>
      <c r="B578" s="572" t="s">
        <v>141</v>
      </c>
      <c r="C578" s="588"/>
      <c r="D578" s="35">
        <f>SUM(D576:D577)</f>
        <v>790</v>
      </c>
      <c r="E578" s="537">
        <f>G578/D578</f>
        <v>8</v>
      </c>
      <c r="F578" s="35">
        <f t="shared" ref="F578:G578" si="32">SUM(F576:F577)</f>
        <v>26</v>
      </c>
      <c r="G578" s="35">
        <f t="shared" si="32"/>
        <v>6320</v>
      </c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  <c r="AP578" s="20"/>
      <c r="AQ578" s="20"/>
      <c r="AR578" s="20"/>
      <c r="AS578" s="20"/>
      <c r="AT578" s="20"/>
      <c r="AU578" s="20"/>
      <c r="AV578" s="20"/>
      <c r="AW578" s="20"/>
      <c r="AX578" s="20"/>
      <c r="AY578" s="20"/>
      <c r="AZ578" s="20"/>
      <c r="BA578" s="20"/>
      <c r="BB578" s="20"/>
      <c r="BC578" s="20"/>
      <c r="BD578" s="20"/>
      <c r="BE578" s="20"/>
      <c r="BF578" s="20"/>
      <c r="BG578" s="20"/>
      <c r="BH578" s="20"/>
      <c r="BI578" s="20"/>
      <c r="BJ578" s="20"/>
      <c r="BK578" s="20"/>
      <c r="BL578" s="20"/>
      <c r="BM578" s="20"/>
      <c r="BN578" s="20"/>
      <c r="BO578" s="20"/>
      <c r="BP578" s="20"/>
      <c r="BQ578" s="20"/>
      <c r="BR578" s="20"/>
      <c r="BS578" s="20"/>
      <c r="BT578" s="20"/>
    </row>
    <row r="579" spans="1:72" ht="18" hidden="1" customHeight="1" x14ac:dyDescent="0.25">
      <c r="A579" s="6">
        <v>1</v>
      </c>
      <c r="B579" s="31" t="s">
        <v>116</v>
      </c>
      <c r="C579" s="381"/>
      <c r="D579" s="18">
        <f>D574+D578</f>
        <v>1560</v>
      </c>
      <c r="E579" s="17">
        <f>G579/D579</f>
        <v>8.6839743589743588</v>
      </c>
      <c r="F579" s="18">
        <f>F574+F578</f>
        <v>49</v>
      </c>
      <c r="G579" s="18">
        <f>G574+G578</f>
        <v>13547</v>
      </c>
    </row>
    <row r="580" spans="1:72" s="20" customFormat="1" ht="15.75" hidden="1" thickBot="1" x14ac:dyDescent="0.3">
      <c r="A580" s="6">
        <v>1</v>
      </c>
      <c r="B580" s="598" t="s">
        <v>10</v>
      </c>
      <c r="C580" s="599"/>
      <c r="D580" s="599"/>
      <c r="E580" s="599"/>
      <c r="F580" s="599"/>
      <c r="G580" s="599"/>
    </row>
    <row r="581" spans="1:72" s="20" customFormat="1" hidden="1" x14ac:dyDescent="0.25">
      <c r="A581" s="6">
        <v>1</v>
      </c>
      <c r="B581" s="678"/>
      <c r="C581" s="589"/>
      <c r="D581" s="258"/>
      <c r="E581" s="258"/>
      <c r="F581" s="258"/>
      <c r="G581" s="258"/>
    </row>
    <row r="582" spans="1:72" s="20" customFormat="1" ht="15.75" hidden="1" x14ac:dyDescent="0.25">
      <c r="A582" s="6">
        <v>1</v>
      </c>
      <c r="B582" s="553" t="s">
        <v>198</v>
      </c>
      <c r="C582" s="409"/>
      <c r="D582" s="3"/>
      <c r="E582" s="3"/>
      <c r="F582" s="3"/>
      <c r="G582" s="3"/>
    </row>
    <row r="583" spans="1:72" s="20" customFormat="1" hidden="1" x14ac:dyDescent="0.25">
      <c r="A583" s="6">
        <v>1</v>
      </c>
      <c r="B583" s="356" t="s">
        <v>4</v>
      </c>
      <c r="C583" s="409"/>
      <c r="D583" s="3"/>
      <c r="E583" s="3"/>
      <c r="F583" s="3"/>
      <c r="G583" s="3"/>
    </row>
    <row r="584" spans="1:72" s="20" customFormat="1" hidden="1" x14ac:dyDescent="0.25">
      <c r="A584" s="6">
        <v>1</v>
      </c>
      <c r="B584" s="4" t="s">
        <v>37</v>
      </c>
      <c r="C584" s="231">
        <v>340</v>
      </c>
      <c r="D584" s="3">
        <v>85</v>
      </c>
      <c r="E584" s="227">
        <v>11</v>
      </c>
      <c r="F584" s="3">
        <f>ROUND(G584/C584,0)</f>
        <v>3</v>
      </c>
      <c r="G584" s="3">
        <f>ROUND(D584*E584,0)</f>
        <v>935</v>
      </c>
    </row>
    <row r="585" spans="1:72" s="20" customFormat="1" hidden="1" x14ac:dyDescent="0.25">
      <c r="A585" s="6">
        <v>1</v>
      </c>
      <c r="B585" s="322" t="s">
        <v>5</v>
      </c>
      <c r="C585" s="409"/>
      <c r="D585" s="18">
        <f t="shared" ref="D585" si="33">D584</f>
        <v>85</v>
      </c>
      <c r="E585" s="600">
        <f t="shared" ref="E585:G585" si="34">E584</f>
        <v>11</v>
      </c>
      <c r="F585" s="18">
        <f t="shared" si="34"/>
        <v>3</v>
      </c>
      <c r="G585" s="18">
        <f t="shared" si="34"/>
        <v>935</v>
      </c>
    </row>
    <row r="586" spans="1:72" s="46" customFormat="1" ht="18.75" hidden="1" customHeight="1" x14ac:dyDescent="0.25">
      <c r="A586" s="6">
        <v>1</v>
      </c>
      <c r="B586" s="21" t="s">
        <v>205</v>
      </c>
      <c r="C586" s="21"/>
      <c r="D586" s="74"/>
      <c r="E586" s="45"/>
      <c r="F586" s="45"/>
      <c r="G586" s="45"/>
    </row>
    <row r="587" spans="1:72" s="46" customFormat="1" ht="30" hidden="1" x14ac:dyDescent="0.25">
      <c r="A587" s="6">
        <v>1</v>
      </c>
      <c r="B587" s="23" t="s">
        <v>323</v>
      </c>
      <c r="C587" s="47"/>
      <c r="D587" s="45">
        <f>SUM(D589,D590,D591,D592)+D588/2.7</f>
        <v>8174.4444444444443</v>
      </c>
      <c r="E587" s="45"/>
      <c r="F587" s="45"/>
      <c r="G587" s="45"/>
    </row>
    <row r="588" spans="1:72" s="46" customFormat="1" hidden="1" x14ac:dyDescent="0.25">
      <c r="A588" s="6">
        <v>1</v>
      </c>
      <c r="B588" s="23" t="s">
        <v>286</v>
      </c>
      <c r="C588" s="28"/>
      <c r="D588" s="3">
        <v>741</v>
      </c>
      <c r="E588" s="28"/>
      <c r="F588" s="28"/>
      <c r="G588" s="28"/>
    </row>
    <row r="589" spans="1:72" s="46" customFormat="1" hidden="1" x14ac:dyDescent="0.25">
      <c r="A589" s="6">
        <v>1</v>
      </c>
      <c r="B589" s="48" t="s">
        <v>206</v>
      </c>
      <c r="C589" s="47"/>
      <c r="D589" s="45"/>
      <c r="E589" s="45"/>
      <c r="F589" s="45"/>
      <c r="G589" s="45"/>
    </row>
    <row r="590" spans="1:72" s="46" customFormat="1" ht="17.25" hidden="1" customHeight="1" x14ac:dyDescent="0.25">
      <c r="A590" s="6">
        <v>1</v>
      </c>
      <c r="B590" s="48" t="s">
        <v>207</v>
      </c>
      <c r="C590" s="47"/>
      <c r="D590" s="3">
        <v>1400</v>
      </c>
      <c r="E590" s="45"/>
      <c r="F590" s="45"/>
      <c r="G590" s="45"/>
    </row>
    <row r="591" spans="1:72" s="46" customFormat="1" ht="30" hidden="1" x14ac:dyDescent="0.25">
      <c r="A591" s="6">
        <v>1</v>
      </c>
      <c r="B591" s="48" t="s">
        <v>208</v>
      </c>
      <c r="C591" s="47"/>
      <c r="D591" s="3"/>
      <c r="E591" s="45"/>
      <c r="F591" s="45"/>
      <c r="G591" s="45"/>
    </row>
    <row r="592" spans="1:72" s="46" customFormat="1" hidden="1" x14ac:dyDescent="0.25">
      <c r="A592" s="6">
        <v>1</v>
      </c>
      <c r="B592" s="23" t="s">
        <v>209</v>
      </c>
      <c r="C592" s="47"/>
      <c r="D592" s="3">
        <v>6500</v>
      </c>
      <c r="E592" s="45"/>
      <c r="F592" s="45"/>
      <c r="G592" s="45"/>
    </row>
    <row r="593" spans="1:8" s="46" customFormat="1" ht="45" hidden="1" x14ac:dyDescent="0.25">
      <c r="A593" s="6">
        <v>1</v>
      </c>
      <c r="B593" s="23" t="s">
        <v>285</v>
      </c>
      <c r="C593" s="47"/>
      <c r="D593" s="13">
        <v>176</v>
      </c>
      <c r="E593" s="45"/>
      <c r="F593" s="45"/>
      <c r="G593" s="45"/>
      <c r="H593" s="75"/>
    </row>
    <row r="594" spans="1:8" s="20" customFormat="1" hidden="1" x14ac:dyDescent="0.25">
      <c r="A594" s="6">
        <v>1</v>
      </c>
      <c r="B594" s="24" t="s">
        <v>118</v>
      </c>
      <c r="C594" s="22"/>
      <c r="D594" s="3">
        <f>D595+D596</f>
        <v>11241.764705882353</v>
      </c>
      <c r="E594" s="3"/>
      <c r="F594" s="3"/>
      <c r="G594" s="3"/>
    </row>
    <row r="595" spans="1:8" s="20" customFormat="1" hidden="1" x14ac:dyDescent="0.25">
      <c r="A595" s="6">
        <v>1</v>
      </c>
      <c r="B595" s="24" t="s">
        <v>259</v>
      </c>
      <c r="C595" s="207"/>
      <c r="D595" s="3">
        <v>8576</v>
      </c>
      <c r="E595" s="3"/>
      <c r="F595" s="3"/>
      <c r="G595" s="3"/>
    </row>
    <row r="596" spans="1:8" s="20" customFormat="1" hidden="1" x14ac:dyDescent="0.25">
      <c r="A596" s="6">
        <v>1</v>
      </c>
      <c r="B596" s="24" t="s">
        <v>261</v>
      </c>
      <c r="C596" s="207"/>
      <c r="D596" s="13">
        <f>D597/8.5</f>
        <v>2665.7647058823532</v>
      </c>
      <c r="E596" s="3"/>
      <c r="F596" s="3"/>
      <c r="G596" s="3"/>
    </row>
    <row r="597" spans="1:8" s="46" customFormat="1" hidden="1" x14ac:dyDescent="0.25">
      <c r="A597" s="6">
        <v>1</v>
      </c>
      <c r="B597" s="44" t="s">
        <v>260</v>
      </c>
      <c r="C597" s="262"/>
      <c r="D597" s="3">
        <v>22659</v>
      </c>
      <c r="E597" s="45"/>
      <c r="F597" s="45"/>
      <c r="G597" s="45"/>
    </row>
    <row r="598" spans="1:8" s="46" customFormat="1" ht="15.75" hidden="1" customHeight="1" x14ac:dyDescent="0.25">
      <c r="A598" s="6">
        <v>1</v>
      </c>
      <c r="B598" s="49" t="s">
        <v>210</v>
      </c>
      <c r="C598" s="50"/>
      <c r="D598" s="47">
        <f>D587+ROUND(D595*3.2,0)+D597/3.9</f>
        <v>41427.444444444445</v>
      </c>
      <c r="E598" s="51"/>
      <c r="F598" s="51"/>
      <c r="G598" s="51"/>
    </row>
    <row r="599" spans="1:8" s="46" customFormat="1" ht="15.75" hidden="1" customHeight="1" x14ac:dyDescent="0.25">
      <c r="A599" s="6">
        <v>1</v>
      </c>
      <c r="B599" s="21" t="s">
        <v>153</v>
      </c>
      <c r="C599" s="22"/>
      <c r="D599" s="3"/>
      <c r="E599" s="51"/>
      <c r="F599" s="51"/>
      <c r="G599" s="51"/>
    </row>
    <row r="600" spans="1:8" s="46" customFormat="1" ht="30.75" hidden="1" customHeight="1" x14ac:dyDescent="0.25">
      <c r="A600" s="6">
        <v>1</v>
      </c>
      <c r="B600" s="23" t="s">
        <v>323</v>
      </c>
      <c r="C600" s="22"/>
      <c r="D600" s="3">
        <f>SUM(D601,D602,D609,D615,D616,D617)</f>
        <v>3991</v>
      </c>
      <c r="E600" s="51"/>
      <c r="F600" s="51"/>
      <c r="G600" s="51"/>
    </row>
    <row r="601" spans="1:8" s="46" customFormat="1" ht="15.75" hidden="1" customHeight="1" x14ac:dyDescent="0.25">
      <c r="A601" s="6">
        <v>1</v>
      </c>
      <c r="B601" s="23" t="s">
        <v>206</v>
      </c>
      <c r="C601" s="22"/>
      <c r="D601" s="3"/>
      <c r="E601" s="51"/>
      <c r="F601" s="51"/>
      <c r="G601" s="51"/>
    </row>
    <row r="602" spans="1:8" s="46" customFormat="1" ht="15.75" hidden="1" customHeight="1" x14ac:dyDescent="0.25">
      <c r="A602" s="6">
        <v>1</v>
      </c>
      <c r="B602" s="48" t="s">
        <v>211</v>
      </c>
      <c r="C602" s="22"/>
      <c r="D602" s="3">
        <f>D603+D604+D605+D607</f>
        <v>1991</v>
      </c>
      <c r="E602" s="51"/>
      <c r="F602" s="51"/>
      <c r="G602" s="51"/>
    </row>
    <row r="603" spans="1:8" s="46" customFormat="1" ht="19.5" hidden="1" customHeight="1" x14ac:dyDescent="0.25">
      <c r="A603" s="6">
        <v>1</v>
      </c>
      <c r="B603" s="52" t="s">
        <v>212</v>
      </c>
      <c r="C603" s="22"/>
      <c r="D603" s="45">
        <f>2034-534</f>
        <v>1500</v>
      </c>
      <c r="E603" s="51"/>
      <c r="F603" s="51"/>
      <c r="G603" s="51"/>
    </row>
    <row r="604" spans="1:8" s="46" customFormat="1" ht="15.75" hidden="1" customHeight="1" x14ac:dyDescent="0.25">
      <c r="A604" s="6">
        <v>1</v>
      </c>
      <c r="B604" s="52" t="s">
        <v>213</v>
      </c>
      <c r="C604" s="22"/>
      <c r="D604" s="45">
        <v>491</v>
      </c>
      <c r="E604" s="51"/>
      <c r="F604" s="51"/>
      <c r="G604" s="51"/>
    </row>
    <row r="605" spans="1:8" s="46" customFormat="1" ht="30.75" hidden="1" customHeight="1" x14ac:dyDescent="0.25">
      <c r="A605" s="6">
        <v>1</v>
      </c>
      <c r="B605" s="52" t="s">
        <v>214</v>
      </c>
      <c r="C605" s="22"/>
      <c r="D605" s="45"/>
      <c r="E605" s="51"/>
      <c r="F605" s="51"/>
      <c r="G605" s="51"/>
    </row>
    <row r="606" spans="1:8" s="46" customFormat="1" hidden="1" x14ac:dyDescent="0.25">
      <c r="A606" s="6">
        <v>1</v>
      </c>
      <c r="B606" s="52" t="s">
        <v>215</v>
      </c>
      <c r="C606" s="22"/>
      <c r="D606" s="45"/>
      <c r="E606" s="51"/>
      <c r="F606" s="51"/>
      <c r="G606" s="51"/>
    </row>
    <row r="607" spans="1:8" s="46" customFormat="1" ht="30" hidden="1" x14ac:dyDescent="0.25">
      <c r="A607" s="6">
        <v>1</v>
      </c>
      <c r="B607" s="52" t="s">
        <v>216</v>
      </c>
      <c r="C607" s="22"/>
      <c r="D607" s="45"/>
      <c r="E607" s="51"/>
      <c r="F607" s="51"/>
      <c r="G607" s="51"/>
    </row>
    <row r="608" spans="1:8" s="46" customFormat="1" hidden="1" x14ac:dyDescent="0.25">
      <c r="A608" s="6">
        <v>1</v>
      </c>
      <c r="B608" s="52" t="s">
        <v>215</v>
      </c>
      <c r="C608" s="22"/>
      <c r="D608" s="76"/>
      <c r="E608" s="51"/>
      <c r="F608" s="51"/>
      <c r="G608" s="51"/>
    </row>
    <row r="609" spans="1:7" s="46" customFormat="1" ht="30" hidden="1" customHeight="1" x14ac:dyDescent="0.25">
      <c r="A609" s="6">
        <v>1</v>
      </c>
      <c r="B609" s="48" t="s">
        <v>217</v>
      </c>
      <c r="C609" s="22"/>
      <c r="D609" s="3">
        <f>SUM(D610,D611,D613)</f>
        <v>2000</v>
      </c>
      <c r="E609" s="51"/>
      <c r="F609" s="51"/>
      <c r="G609" s="51"/>
    </row>
    <row r="610" spans="1:7" s="46" customFormat="1" ht="30" hidden="1" x14ac:dyDescent="0.25">
      <c r="A610" s="6">
        <v>1</v>
      </c>
      <c r="B610" s="52" t="s">
        <v>218</v>
      </c>
      <c r="C610" s="22"/>
      <c r="D610" s="3">
        <f>1200+800</f>
        <v>2000</v>
      </c>
      <c r="E610" s="51"/>
      <c r="F610" s="51"/>
      <c r="G610" s="51"/>
    </row>
    <row r="611" spans="1:7" s="46" customFormat="1" ht="45" hidden="1" x14ac:dyDescent="0.25">
      <c r="A611" s="6">
        <v>1</v>
      </c>
      <c r="B611" s="52" t="s">
        <v>219</v>
      </c>
      <c r="C611" s="22"/>
      <c r="D611" s="42"/>
      <c r="E611" s="51"/>
      <c r="F611" s="51"/>
      <c r="G611" s="51"/>
    </row>
    <row r="612" spans="1:7" s="46" customFormat="1" hidden="1" x14ac:dyDescent="0.25">
      <c r="A612" s="6">
        <v>1</v>
      </c>
      <c r="B612" s="52" t="s">
        <v>215</v>
      </c>
      <c r="C612" s="22"/>
      <c r="D612" s="42"/>
      <c r="E612" s="51"/>
      <c r="F612" s="51"/>
      <c r="G612" s="51"/>
    </row>
    <row r="613" spans="1:7" s="46" customFormat="1" ht="45" hidden="1" x14ac:dyDescent="0.25">
      <c r="A613" s="6">
        <v>1</v>
      </c>
      <c r="B613" s="52" t="s">
        <v>220</v>
      </c>
      <c r="C613" s="22"/>
      <c r="D613" s="42"/>
      <c r="E613" s="51"/>
      <c r="F613" s="51"/>
      <c r="G613" s="51"/>
    </row>
    <row r="614" spans="1:7" s="46" customFormat="1" hidden="1" x14ac:dyDescent="0.25">
      <c r="A614" s="6">
        <v>1</v>
      </c>
      <c r="B614" s="52" t="s">
        <v>215</v>
      </c>
      <c r="C614" s="22"/>
      <c r="D614" s="42"/>
      <c r="E614" s="51"/>
      <c r="F614" s="51"/>
      <c r="G614" s="51"/>
    </row>
    <row r="615" spans="1:7" s="46" customFormat="1" ht="31.5" hidden="1" customHeight="1" x14ac:dyDescent="0.25">
      <c r="A615" s="6">
        <v>1</v>
      </c>
      <c r="B615" s="48" t="s">
        <v>221</v>
      </c>
      <c r="C615" s="22"/>
      <c r="D615" s="3"/>
      <c r="E615" s="51"/>
      <c r="F615" s="51"/>
      <c r="G615" s="51"/>
    </row>
    <row r="616" spans="1:7" s="46" customFormat="1" ht="15.75" hidden="1" customHeight="1" x14ac:dyDescent="0.25">
      <c r="A616" s="6">
        <v>1</v>
      </c>
      <c r="B616" s="48" t="s">
        <v>222</v>
      </c>
      <c r="C616" s="22"/>
      <c r="D616" s="3"/>
      <c r="E616" s="51"/>
      <c r="F616" s="51"/>
      <c r="G616" s="51"/>
    </row>
    <row r="617" spans="1:7" s="46" customFormat="1" ht="15.75" hidden="1" customHeight="1" x14ac:dyDescent="0.25">
      <c r="A617" s="6">
        <v>1</v>
      </c>
      <c r="B617" s="23" t="s">
        <v>223</v>
      </c>
      <c r="C617" s="22"/>
      <c r="D617" s="3"/>
      <c r="E617" s="51"/>
      <c r="F617" s="51"/>
      <c r="G617" s="51"/>
    </row>
    <row r="618" spans="1:7" s="46" customFormat="1" hidden="1" x14ac:dyDescent="0.25">
      <c r="A618" s="6">
        <v>1</v>
      </c>
      <c r="B618" s="24" t="s">
        <v>118</v>
      </c>
      <c r="C618" s="47"/>
      <c r="D618" s="45"/>
      <c r="E618" s="51"/>
      <c r="F618" s="51"/>
      <c r="G618" s="51"/>
    </row>
    <row r="619" spans="1:7" s="46" customFormat="1" hidden="1" x14ac:dyDescent="0.25">
      <c r="A619" s="6">
        <v>1</v>
      </c>
      <c r="B619" s="44" t="s">
        <v>150</v>
      </c>
      <c r="C619" s="47"/>
      <c r="D619" s="76"/>
      <c r="E619" s="51"/>
      <c r="F619" s="51"/>
      <c r="G619" s="51"/>
    </row>
    <row r="620" spans="1:7" s="20" customFormat="1" ht="30" hidden="1" x14ac:dyDescent="0.25">
      <c r="A620" s="6">
        <v>1</v>
      </c>
      <c r="B620" s="24" t="s">
        <v>119</v>
      </c>
      <c r="C620" s="22"/>
      <c r="D620" s="3">
        <v>200</v>
      </c>
      <c r="E620" s="3"/>
      <c r="F620" s="3"/>
      <c r="G620" s="3"/>
    </row>
    <row r="621" spans="1:7" s="46" customFormat="1" ht="15.75" hidden="1" customHeight="1" x14ac:dyDescent="0.25">
      <c r="A621" s="6">
        <v>1</v>
      </c>
      <c r="B621" s="24" t="s">
        <v>224</v>
      </c>
      <c r="C621" s="22"/>
      <c r="D621" s="3"/>
      <c r="E621" s="51"/>
      <c r="F621" s="51"/>
      <c r="G621" s="51"/>
    </row>
    <row r="622" spans="1:7" s="46" customFormat="1" hidden="1" x14ac:dyDescent="0.25">
      <c r="A622" s="6">
        <v>1</v>
      </c>
      <c r="B622" s="53" t="s">
        <v>225</v>
      </c>
      <c r="C622" s="22"/>
      <c r="D622" s="3"/>
      <c r="E622" s="51"/>
      <c r="F622" s="51"/>
      <c r="G622" s="51"/>
    </row>
    <row r="623" spans="1:7" s="46" customFormat="1" hidden="1" x14ac:dyDescent="0.25">
      <c r="A623" s="6">
        <v>1</v>
      </c>
      <c r="B623" s="54" t="s">
        <v>152</v>
      </c>
      <c r="C623" s="22"/>
      <c r="D623" s="18">
        <f>D600+ROUND(D618*3.2,0)+D620</f>
        <v>4191</v>
      </c>
      <c r="E623" s="51"/>
      <c r="F623" s="51"/>
      <c r="G623" s="51"/>
    </row>
    <row r="624" spans="1:7" s="46" customFormat="1" hidden="1" x14ac:dyDescent="0.25">
      <c r="A624" s="6">
        <v>1</v>
      </c>
      <c r="B624" s="55" t="s">
        <v>151</v>
      </c>
      <c r="C624" s="22"/>
      <c r="D624" s="18">
        <f>SUM(D598,D623)</f>
        <v>45618.444444444445</v>
      </c>
      <c r="E624" s="51"/>
      <c r="F624" s="51"/>
      <c r="G624" s="51"/>
    </row>
    <row r="625" spans="1:7" s="20" customFormat="1" hidden="1" x14ac:dyDescent="0.25">
      <c r="A625" s="6">
        <v>1</v>
      </c>
      <c r="B625" s="34" t="s">
        <v>7</v>
      </c>
      <c r="C625" s="593"/>
      <c r="D625" s="18"/>
      <c r="E625" s="18"/>
      <c r="F625" s="3"/>
      <c r="G625" s="3"/>
    </row>
    <row r="626" spans="1:7" s="20" customFormat="1" hidden="1" x14ac:dyDescent="0.25">
      <c r="A626" s="6">
        <v>1</v>
      </c>
      <c r="B626" s="43" t="s">
        <v>20</v>
      </c>
      <c r="C626" s="593"/>
      <c r="D626" s="18"/>
      <c r="E626" s="601"/>
      <c r="F626" s="3"/>
      <c r="G626" s="3"/>
    </row>
    <row r="627" spans="1:7" s="20" customFormat="1" hidden="1" x14ac:dyDescent="0.25">
      <c r="A627" s="6">
        <v>1</v>
      </c>
      <c r="B627" s="30" t="s">
        <v>37</v>
      </c>
      <c r="C627" s="587">
        <v>240</v>
      </c>
      <c r="D627" s="3">
        <v>310</v>
      </c>
      <c r="E627" s="227">
        <v>8</v>
      </c>
      <c r="F627" s="3">
        <f>ROUND(G627/C627,0)</f>
        <v>10</v>
      </c>
      <c r="G627" s="3">
        <f>ROUND(D627*E627,0)</f>
        <v>2480</v>
      </c>
    </row>
    <row r="628" spans="1:7" s="20" customFormat="1" hidden="1" x14ac:dyDescent="0.25">
      <c r="A628" s="6">
        <v>1</v>
      </c>
      <c r="B628" s="572" t="s">
        <v>141</v>
      </c>
      <c r="C628" s="588"/>
      <c r="D628" s="35">
        <f t="shared" ref="D628" si="35">D627</f>
        <v>310</v>
      </c>
      <c r="E628" s="537">
        <f t="shared" ref="E628:G629" si="36">E627</f>
        <v>8</v>
      </c>
      <c r="F628" s="35">
        <f t="shared" si="36"/>
        <v>10</v>
      </c>
      <c r="G628" s="35">
        <f t="shared" si="36"/>
        <v>2480</v>
      </c>
    </row>
    <row r="629" spans="1:7" s="20" customFormat="1" ht="21" hidden="1" customHeight="1" x14ac:dyDescent="0.25">
      <c r="A629" s="6">
        <v>1</v>
      </c>
      <c r="B629" s="31" t="s">
        <v>116</v>
      </c>
      <c r="C629" s="381"/>
      <c r="D629" s="18">
        <f t="shared" ref="D629" si="37">D628</f>
        <v>310</v>
      </c>
      <c r="E629" s="17">
        <f>G629/D629</f>
        <v>8</v>
      </c>
      <c r="F629" s="18">
        <f>F628</f>
        <v>10</v>
      </c>
      <c r="G629" s="18">
        <f t="shared" si="36"/>
        <v>2480</v>
      </c>
    </row>
    <row r="630" spans="1:7" s="20" customFormat="1" ht="15.75" hidden="1" thickBot="1" x14ac:dyDescent="0.3">
      <c r="A630" s="6">
        <v>1</v>
      </c>
      <c r="B630" s="578" t="s">
        <v>10</v>
      </c>
      <c r="C630" s="579"/>
      <c r="D630" s="579"/>
      <c r="E630" s="579"/>
      <c r="F630" s="579"/>
      <c r="G630" s="579"/>
    </row>
    <row r="631" spans="1:7" s="20" customFormat="1" ht="15.75" hidden="1" x14ac:dyDescent="0.25">
      <c r="A631" s="6">
        <v>1</v>
      </c>
      <c r="B631" s="664" t="s">
        <v>142</v>
      </c>
      <c r="C631" s="427"/>
      <c r="D631" s="512"/>
      <c r="E631" s="513"/>
      <c r="F631" s="513"/>
      <c r="G631" s="513"/>
    </row>
    <row r="632" spans="1:7" s="20" customFormat="1" ht="31.5" hidden="1" x14ac:dyDescent="0.25">
      <c r="A632" s="6">
        <v>1</v>
      </c>
      <c r="B632" s="32" t="s">
        <v>165</v>
      </c>
      <c r="C632" s="16"/>
      <c r="D632" s="665">
        <v>1690</v>
      </c>
      <c r="E632" s="16"/>
      <c r="F632" s="432"/>
      <c r="G632" s="432"/>
    </row>
    <row r="633" spans="1:7" s="20" customFormat="1" ht="31.5" hidden="1" x14ac:dyDescent="0.25">
      <c r="A633" s="6">
        <v>1</v>
      </c>
      <c r="B633" s="32" t="s">
        <v>166</v>
      </c>
      <c r="C633" s="16"/>
      <c r="D633" s="665">
        <v>5769</v>
      </c>
      <c r="E633" s="16"/>
      <c r="F633" s="432"/>
      <c r="G633" s="432"/>
    </row>
    <row r="634" spans="1:7" s="20" customFormat="1" ht="16.5" hidden="1" thickBot="1" x14ac:dyDescent="0.3">
      <c r="A634" s="6">
        <v>1</v>
      </c>
      <c r="B634" s="32" t="s">
        <v>191</v>
      </c>
      <c r="C634" s="16"/>
      <c r="D634" s="665">
        <v>150</v>
      </c>
      <c r="E634" s="16"/>
      <c r="F634" s="432"/>
      <c r="G634" s="432"/>
    </row>
    <row r="635" spans="1:7" s="20" customFormat="1" ht="15.75" hidden="1" thickBot="1" x14ac:dyDescent="0.3">
      <c r="A635" s="6">
        <v>1</v>
      </c>
      <c r="B635" s="457" t="s">
        <v>10</v>
      </c>
      <c r="C635" s="507"/>
      <c r="D635" s="508"/>
      <c r="E635" s="509"/>
      <c r="F635" s="509"/>
      <c r="G635" s="509"/>
    </row>
    <row r="636" spans="1:7" ht="36.75" hidden="1" customHeight="1" x14ac:dyDescent="0.25">
      <c r="A636" s="6">
        <v>1</v>
      </c>
      <c r="B636" s="706" t="s">
        <v>176</v>
      </c>
      <c r="C636" s="707"/>
      <c r="D636" s="602">
        <f>D637+D639</f>
        <v>81025</v>
      </c>
      <c r="E636" s="543"/>
      <c r="F636" s="543"/>
      <c r="G636" s="543"/>
    </row>
    <row r="637" spans="1:7" ht="18" hidden="1" customHeight="1" x14ac:dyDescent="0.25">
      <c r="A637" s="6">
        <v>1</v>
      </c>
      <c r="B637" s="40" t="s">
        <v>167</v>
      </c>
      <c r="C637" s="543"/>
      <c r="D637" s="602">
        <f>D638</f>
        <v>81000</v>
      </c>
      <c r="E637" s="543"/>
      <c r="F637" s="543"/>
      <c r="G637" s="543"/>
    </row>
    <row r="638" spans="1:7" ht="16.5" hidden="1" customHeight="1" x14ac:dyDescent="0.25">
      <c r="A638" s="6">
        <v>1</v>
      </c>
      <c r="B638" s="41" t="s">
        <v>168</v>
      </c>
      <c r="C638" s="543"/>
      <c r="D638" s="543">
        <v>81000</v>
      </c>
      <c r="E638" s="543"/>
      <c r="F638" s="543"/>
      <c r="G638" s="543"/>
    </row>
    <row r="639" spans="1:7" ht="21" hidden="1" customHeight="1" x14ac:dyDescent="0.25">
      <c r="A639" s="6">
        <v>1</v>
      </c>
      <c r="B639" s="40" t="s">
        <v>169</v>
      </c>
      <c r="C639" s="543"/>
      <c r="D639" s="602">
        <f>D640</f>
        <v>25</v>
      </c>
      <c r="E639" s="543"/>
      <c r="F639" s="543"/>
      <c r="G639" s="543"/>
    </row>
    <row r="640" spans="1:7" ht="32.25" hidden="1" customHeight="1" x14ac:dyDescent="0.25">
      <c r="A640" s="6">
        <v>1</v>
      </c>
      <c r="B640" s="41" t="s">
        <v>170</v>
      </c>
      <c r="C640" s="543"/>
      <c r="D640" s="543">
        <f>40-15</f>
        <v>25</v>
      </c>
      <c r="E640" s="543"/>
      <c r="F640" s="543"/>
      <c r="G640" s="543"/>
    </row>
    <row r="641" spans="1:7" ht="21" hidden="1" customHeight="1" thickBot="1" x14ac:dyDescent="0.3">
      <c r="A641" s="6">
        <v>1</v>
      </c>
      <c r="B641" s="270" t="s">
        <v>10</v>
      </c>
      <c r="C641" s="270"/>
      <c r="D641" s="270"/>
      <c r="E641" s="270"/>
      <c r="F641" s="270"/>
      <c r="G641" s="270"/>
    </row>
  </sheetData>
  <autoFilter ref="A7:BT641"/>
  <mergeCells count="8">
    <mergeCell ref="H6:I6"/>
    <mergeCell ref="G4:G6"/>
    <mergeCell ref="B2:G3"/>
    <mergeCell ref="B636:C636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M98"/>
  <sheetViews>
    <sheetView zoomScale="80" zoomScaleNormal="80" workbookViewId="0">
      <pane xSplit="1" ySplit="7" topLeftCell="B8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54.28515625" style="95" customWidth="1"/>
    <col min="2" max="2" width="11.140625" style="95" customWidth="1"/>
    <col min="3" max="3" width="14.140625" style="95" customWidth="1"/>
    <col min="4" max="4" width="12.28515625" style="95" customWidth="1"/>
    <col min="5" max="5" width="12.7109375" style="95" customWidth="1"/>
    <col min="6" max="6" width="12" style="95" customWidth="1"/>
    <col min="7" max="7" width="13.42578125" style="95" bestFit="1" customWidth="1"/>
    <col min="8" max="16384" width="11.42578125" style="95"/>
  </cols>
  <sheetData>
    <row r="1" spans="1:8" x14ac:dyDescent="0.25">
      <c r="E1" s="103"/>
    </row>
    <row r="2" spans="1:8" ht="17.25" customHeight="1" x14ac:dyDescent="0.25">
      <c r="A2" s="696" t="s">
        <v>293</v>
      </c>
      <c r="B2" s="696"/>
      <c r="C2" s="696"/>
      <c r="D2" s="696"/>
      <c r="E2" s="696"/>
      <c r="F2" s="696"/>
    </row>
    <row r="3" spans="1:8" ht="17.25" customHeight="1" thickBot="1" x14ac:dyDescent="0.3">
      <c r="A3" s="705"/>
      <c r="B3" s="705"/>
      <c r="C3" s="705"/>
      <c r="D3" s="705"/>
      <c r="E3" s="705"/>
      <c r="F3" s="705"/>
    </row>
    <row r="4" spans="1:8" ht="34.5" customHeight="1" x14ac:dyDescent="0.3">
      <c r="A4" s="8" t="s">
        <v>175</v>
      </c>
      <c r="B4" s="687" t="s">
        <v>1</v>
      </c>
      <c r="C4" s="699" t="s">
        <v>256</v>
      </c>
      <c r="D4" s="693" t="s">
        <v>0</v>
      </c>
      <c r="E4" s="687" t="s">
        <v>2</v>
      </c>
      <c r="F4" s="690" t="s">
        <v>204</v>
      </c>
    </row>
    <row r="5" spans="1:8" ht="30.75" customHeight="1" x14ac:dyDescent="0.3">
      <c r="A5" s="9"/>
      <c r="B5" s="688"/>
      <c r="C5" s="700"/>
      <c r="D5" s="694"/>
      <c r="E5" s="688"/>
      <c r="F5" s="691"/>
    </row>
    <row r="6" spans="1:8" ht="30" customHeight="1" thickBot="1" x14ac:dyDescent="0.3">
      <c r="A6" s="10" t="s">
        <v>3</v>
      </c>
      <c r="B6" s="689"/>
      <c r="C6" s="701"/>
      <c r="D6" s="695"/>
      <c r="E6" s="689"/>
      <c r="F6" s="692"/>
    </row>
    <row r="7" spans="1:8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8" ht="29.25" x14ac:dyDescent="0.25">
      <c r="A8" s="716" t="s">
        <v>93</v>
      </c>
      <c r="B8" s="625"/>
      <c r="C8" s="625"/>
      <c r="D8" s="104"/>
      <c r="E8" s="104"/>
      <c r="F8" s="104"/>
      <c r="G8" s="708"/>
      <c r="H8" s="708"/>
    </row>
    <row r="9" spans="1:8" x14ac:dyDescent="0.25">
      <c r="A9" s="69" t="s">
        <v>4</v>
      </c>
      <c r="B9" s="603"/>
      <c r="C9" s="603"/>
      <c r="D9" s="100"/>
      <c r="E9" s="100"/>
      <c r="F9" s="100"/>
    </row>
    <row r="10" spans="1:8" x14ac:dyDescent="0.25">
      <c r="A10" s="59" t="s">
        <v>21</v>
      </c>
      <c r="B10" s="99">
        <v>340</v>
      </c>
      <c r="C10" s="45">
        <v>2653</v>
      </c>
      <c r="D10" s="92">
        <v>10.5</v>
      </c>
      <c r="E10" s="100">
        <f t="shared" ref="E10:E20" si="0">ROUND(F10/B10,0)</f>
        <v>82</v>
      </c>
      <c r="F10" s="3">
        <f t="shared" ref="F10:F20" si="1">ROUND(C10*D10,0)</f>
        <v>27857</v>
      </c>
    </row>
    <row r="11" spans="1:8" x14ac:dyDescent="0.25">
      <c r="A11" s="59" t="s">
        <v>22</v>
      </c>
      <c r="B11" s="99">
        <v>340</v>
      </c>
      <c r="C11" s="45">
        <v>162</v>
      </c>
      <c r="D11" s="92">
        <v>10.5</v>
      </c>
      <c r="E11" s="100">
        <f t="shared" si="0"/>
        <v>5</v>
      </c>
      <c r="F11" s="3">
        <f t="shared" si="1"/>
        <v>1701</v>
      </c>
    </row>
    <row r="12" spans="1:8" x14ac:dyDescent="0.25">
      <c r="A12" s="59" t="s">
        <v>27</v>
      </c>
      <c r="B12" s="99">
        <v>270</v>
      </c>
      <c r="C12" s="45">
        <v>680</v>
      </c>
      <c r="D12" s="92">
        <v>7.3</v>
      </c>
      <c r="E12" s="100">
        <f t="shared" si="0"/>
        <v>18</v>
      </c>
      <c r="F12" s="3">
        <f t="shared" si="1"/>
        <v>4964</v>
      </c>
    </row>
    <row r="13" spans="1:8" x14ac:dyDescent="0.25">
      <c r="A13" s="59" t="s">
        <v>11</v>
      </c>
      <c r="B13" s="99">
        <v>340</v>
      </c>
      <c r="C13" s="45">
        <v>1739</v>
      </c>
      <c r="D13" s="92">
        <v>10</v>
      </c>
      <c r="E13" s="100">
        <f t="shared" si="0"/>
        <v>51</v>
      </c>
      <c r="F13" s="3">
        <f t="shared" si="1"/>
        <v>17390</v>
      </c>
    </row>
    <row r="14" spans="1:8" x14ac:dyDescent="0.25">
      <c r="A14" s="59" t="s">
        <v>58</v>
      </c>
      <c r="B14" s="99">
        <v>340</v>
      </c>
      <c r="C14" s="45">
        <v>441</v>
      </c>
      <c r="D14" s="92">
        <v>11</v>
      </c>
      <c r="E14" s="100">
        <f t="shared" si="0"/>
        <v>14</v>
      </c>
      <c r="F14" s="3">
        <f t="shared" si="1"/>
        <v>4851</v>
      </c>
    </row>
    <row r="15" spans="1:8" x14ac:dyDescent="0.25">
      <c r="A15" s="59" t="s">
        <v>28</v>
      </c>
      <c r="B15" s="99">
        <v>300</v>
      </c>
      <c r="C15" s="45">
        <v>350</v>
      </c>
      <c r="D15" s="92">
        <v>6</v>
      </c>
      <c r="E15" s="100">
        <f t="shared" si="0"/>
        <v>7</v>
      </c>
      <c r="F15" s="3">
        <f t="shared" si="1"/>
        <v>2100</v>
      </c>
    </row>
    <row r="16" spans="1:8" x14ac:dyDescent="0.25">
      <c r="A16" s="59" t="s">
        <v>24</v>
      </c>
      <c r="B16" s="99">
        <v>340</v>
      </c>
      <c r="C16" s="45">
        <v>236</v>
      </c>
      <c r="D16" s="92">
        <v>7.5</v>
      </c>
      <c r="E16" s="100">
        <f t="shared" si="0"/>
        <v>5</v>
      </c>
      <c r="F16" s="3">
        <f t="shared" si="1"/>
        <v>1770</v>
      </c>
    </row>
    <row r="17" spans="1:7" x14ac:dyDescent="0.25">
      <c r="A17" s="59" t="s">
        <v>23</v>
      </c>
      <c r="B17" s="99">
        <v>340</v>
      </c>
      <c r="C17" s="45">
        <v>1140</v>
      </c>
      <c r="D17" s="92">
        <v>6.1</v>
      </c>
      <c r="E17" s="100">
        <f t="shared" si="0"/>
        <v>20</v>
      </c>
      <c r="F17" s="3">
        <f t="shared" si="1"/>
        <v>6954</v>
      </c>
    </row>
    <row r="18" spans="1:7" x14ac:dyDescent="0.25">
      <c r="A18" s="59" t="s">
        <v>57</v>
      </c>
      <c r="B18" s="99">
        <v>340</v>
      </c>
      <c r="C18" s="45">
        <f>540+50</f>
        <v>590</v>
      </c>
      <c r="D18" s="92">
        <v>14</v>
      </c>
      <c r="E18" s="100">
        <f t="shared" si="0"/>
        <v>24</v>
      </c>
      <c r="F18" s="3">
        <f t="shared" si="1"/>
        <v>8260</v>
      </c>
    </row>
    <row r="19" spans="1:7" x14ac:dyDescent="0.25">
      <c r="A19" s="59" t="s">
        <v>26</v>
      </c>
      <c r="B19" s="99">
        <v>320</v>
      </c>
      <c r="C19" s="45">
        <v>650</v>
      </c>
      <c r="D19" s="92">
        <v>9</v>
      </c>
      <c r="E19" s="100">
        <f t="shared" si="0"/>
        <v>18</v>
      </c>
      <c r="F19" s="3">
        <f t="shared" si="1"/>
        <v>5850</v>
      </c>
    </row>
    <row r="20" spans="1:7" x14ac:dyDescent="0.25">
      <c r="A20" s="36" t="s">
        <v>183</v>
      </c>
      <c r="B20" s="2">
        <v>330</v>
      </c>
      <c r="C20" s="45">
        <v>60</v>
      </c>
      <c r="D20" s="105">
        <v>8</v>
      </c>
      <c r="E20" s="100">
        <f t="shared" si="0"/>
        <v>1</v>
      </c>
      <c r="F20" s="3">
        <f t="shared" si="1"/>
        <v>480</v>
      </c>
    </row>
    <row r="21" spans="1:7" s="46" customFormat="1" ht="16.5" customHeight="1" x14ac:dyDescent="0.2">
      <c r="A21" s="106" t="s">
        <v>5</v>
      </c>
      <c r="B21" s="57"/>
      <c r="C21" s="47">
        <f>SUM(C10:C20)</f>
        <v>8701</v>
      </c>
      <c r="D21" s="107">
        <f>F21/C21</f>
        <v>9.4445466038386385</v>
      </c>
      <c r="E21" s="108">
        <f>SUM(E10:E20)</f>
        <v>245</v>
      </c>
      <c r="F21" s="47">
        <f>SUM(F10:F20)</f>
        <v>82177</v>
      </c>
    </row>
    <row r="22" spans="1:7" s="46" customFormat="1" ht="18.75" customHeight="1" x14ac:dyDescent="0.25">
      <c r="A22" s="21" t="s">
        <v>205</v>
      </c>
      <c r="B22" s="21"/>
      <c r="C22" s="74"/>
      <c r="D22" s="45"/>
      <c r="E22" s="45"/>
      <c r="F22" s="45"/>
    </row>
    <row r="23" spans="1:7" s="46" customFormat="1" x14ac:dyDescent="0.25">
      <c r="A23" s="23" t="s">
        <v>323</v>
      </c>
      <c r="B23" s="47"/>
      <c r="C23" s="45">
        <f>SUM(C25,C26,C27,C28)+C24/2.7</f>
        <v>47428.148148148146</v>
      </c>
      <c r="D23" s="45"/>
      <c r="E23" s="45"/>
      <c r="F23" s="45"/>
    </row>
    <row r="24" spans="1:7" s="46" customFormat="1" x14ac:dyDescent="0.25">
      <c r="A24" s="23" t="s">
        <v>286</v>
      </c>
      <c r="B24" s="28"/>
      <c r="C24" s="3">
        <v>616</v>
      </c>
      <c r="D24" s="28"/>
      <c r="E24" s="28"/>
      <c r="F24" s="28"/>
    </row>
    <row r="25" spans="1:7" s="46" customFormat="1" x14ac:dyDescent="0.25">
      <c r="A25" s="48" t="s">
        <v>206</v>
      </c>
      <c r="B25" s="47"/>
      <c r="C25" s="45"/>
      <c r="D25" s="45"/>
      <c r="E25" s="45"/>
      <c r="F25" s="45"/>
    </row>
    <row r="26" spans="1:7" s="46" customFormat="1" ht="17.25" customHeight="1" x14ac:dyDescent="0.25">
      <c r="A26" s="48" t="s">
        <v>207</v>
      </c>
      <c r="B26" s="47"/>
      <c r="C26" s="3">
        <v>12000</v>
      </c>
      <c r="D26" s="45"/>
      <c r="E26" s="45"/>
      <c r="F26" s="45"/>
    </row>
    <row r="27" spans="1:7" s="46" customFormat="1" ht="30" x14ac:dyDescent="0.25">
      <c r="A27" s="48" t="s">
        <v>208</v>
      </c>
      <c r="B27" s="47"/>
      <c r="C27" s="3">
        <v>400</v>
      </c>
      <c r="D27" s="45"/>
      <c r="E27" s="45"/>
      <c r="F27" s="45"/>
    </row>
    <row r="28" spans="1:7" s="46" customFormat="1" x14ac:dyDescent="0.25">
      <c r="A28" s="23" t="s">
        <v>209</v>
      </c>
      <c r="B28" s="47"/>
      <c r="C28" s="3">
        <v>34800</v>
      </c>
      <c r="D28" s="45"/>
      <c r="E28" s="45"/>
      <c r="F28" s="45"/>
    </row>
    <row r="29" spans="1:7" s="46" customFormat="1" ht="45" x14ac:dyDescent="0.25">
      <c r="A29" s="23" t="s">
        <v>285</v>
      </c>
      <c r="B29" s="47"/>
      <c r="C29" s="13">
        <v>49</v>
      </c>
      <c r="D29" s="45"/>
      <c r="E29" s="45"/>
      <c r="F29" s="45"/>
      <c r="G29" s="75"/>
    </row>
    <row r="30" spans="1:7" s="46" customFormat="1" x14ac:dyDescent="0.25">
      <c r="A30" s="24" t="s">
        <v>118</v>
      </c>
      <c r="B30" s="262"/>
      <c r="C30" s="3">
        <f>C31+C32</f>
        <v>72999.705882352937</v>
      </c>
      <c r="D30" s="45"/>
      <c r="E30" s="45"/>
      <c r="F30" s="45"/>
    </row>
    <row r="31" spans="1:7" s="46" customFormat="1" x14ac:dyDescent="0.25">
      <c r="A31" s="24" t="s">
        <v>259</v>
      </c>
      <c r="B31" s="262"/>
      <c r="C31" s="3">
        <f>72235-1000</f>
        <v>71235</v>
      </c>
      <c r="D31" s="45"/>
      <c r="E31" s="45"/>
      <c r="F31" s="45"/>
      <c r="G31" s="109"/>
    </row>
    <row r="32" spans="1:7" s="46" customFormat="1" x14ac:dyDescent="0.25">
      <c r="A32" s="24" t="s">
        <v>261</v>
      </c>
      <c r="B32" s="262"/>
      <c r="C32" s="13">
        <f>C33/8.5</f>
        <v>1764.7058823529412</v>
      </c>
      <c r="D32" s="45"/>
      <c r="E32" s="45"/>
      <c r="F32" s="45"/>
      <c r="G32" s="64"/>
    </row>
    <row r="33" spans="1:7" s="46" customFormat="1" x14ac:dyDescent="0.25">
      <c r="A33" s="44" t="s">
        <v>260</v>
      </c>
      <c r="B33" s="262"/>
      <c r="C33" s="3">
        <v>15000</v>
      </c>
      <c r="D33" s="45"/>
      <c r="E33" s="45"/>
      <c r="F33" s="45"/>
      <c r="G33" s="110"/>
    </row>
    <row r="34" spans="1:7" s="46" customFormat="1" ht="15.75" customHeight="1" x14ac:dyDescent="0.25">
      <c r="A34" s="49" t="s">
        <v>210</v>
      </c>
      <c r="B34" s="50"/>
      <c r="C34" s="47">
        <f>C23+ROUND(C31*3.2,0)+C33/3.9</f>
        <v>279226.30199430202</v>
      </c>
      <c r="D34" s="51"/>
      <c r="E34" s="51"/>
      <c r="F34" s="56"/>
    </row>
    <row r="35" spans="1:7" s="46" customFormat="1" ht="15.75" customHeight="1" x14ac:dyDescent="0.25">
      <c r="A35" s="21" t="s">
        <v>153</v>
      </c>
      <c r="B35" s="22"/>
      <c r="C35" s="3"/>
      <c r="D35" s="51"/>
      <c r="E35" s="51"/>
      <c r="F35" s="56"/>
    </row>
    <row r="36" spans="1:7" s="46" customFormat="1" ht="33" customHeight="1" x14ac:dyDescent="0.25">
      <c r="A36" s="23" t="s">
        <v>323</v>
      </c>
      <c r="B36" s="22"/>
      <c r="C36" s="3">
        <f>SUM(C37,C38,C45,C51,C52,C53)</f>
        <v>66500</v>
      </c>
      <c r="D36" s="51"/>
      <c r="E36" s="51"/>
      <c r="F36" s="56"/>
    </row>
    <row r="37" spans="1:7" s="46" customFormat="1" ht="15.75" customHeight="1" x14ac:dyDescent="0.25">
      <c r="A37" s="23" t="s">
        <v>206</v>
      </c>
      <c r="B37" s="22"/>
      <c r="C37" s="3"/>
      <c r="D37" s="51"/>
      <c r="E37" s="51"/>
      <c r="F37" s="56"/>
    </row>
    <row r="38" spans="1:7" s="46" customFormat="1" ht="15.75" customHeight="1" x14ac:dyDescent="0.25">
      <c r="A38" s="48" t="s">
        <v>211</v>
      </c>
      <c r="B38" s="22"/>
      <c r="C38" s="3">
        <f>C39+C40+C41+C43</f>
        <v>12193</v>
      </c>
      <c r="D38" s="51"/>
      <c r="E38" s="51"/>
      <c r="F38" s="56"/>
    </row>
    <row r="39" spans="1:7" s="46" customFormat="1" ht="19.5" customHeight="1" x14ac:dyDescent="0.25">
      <c r="A39" s="52" t="s">
        <v>212</v>
      </c>
      <c r="B39" s="22"/>
      <c r="C39" s="45">
        <f>11687-5387</f>
        <v>6300</v>
      </c>
      <c r="D39" s="51"/>
      <c r="E39" s="51"/>
      <c r="F39" s="56"/>
    </row>
    <row r="40" spans="1:7" s="46" customFormat="1" ht="15.75" customHeight="1" x14ac:dyDescent="0.25">
      <c r="A40" s="52" t="s">
        <v>213</v>
      </c>
      <c r="B40" s="22"/>
      <c r="C40" s="45">
        <v>3446</v>
      </c>
      <c r="D40" s="51"/>
      <c r="E40" s="51"/>
      <c r="F40" s="56"/>
    </row>
    <row r="41" spans="1:7" s="46" customFormat="1" ht="30.75" customHeight="1" x14ac:dyDescent="0.25">
      <c r="A41" s="52" t="s">
        <v>214</v>
      </c>
      <c r="B41" s="22"/>
      <c r="C41" s="45">
        <v>395</v>
      </c>
      <c r="D41" s="51"/>
      <c r="E41" s="51"/>
      <c r="F41" s="56"/>
    </row>
    <row r="42" spans="1:7" s="46" customFormat="1" x14ac:dyDescent="0.25">
      <c r="A42" s="52" t="s">
        <v>215</v>
      </c>
      <c r="B42" s="22"/>
      <c r="C42" s="45">
        <v>49</v>
      </c>
      <c r="D42" s="51"/>
      <c r="E42" s="51"/>
      <c r="F42" s="56"/>
    </row>
    <row r="43" spans="1:7" s="46" customFormat="1" ht="30" x14ac:dyDescent="0.25">
      <c r="A43" s="52" t="s">
        <v>216</v>
      </c>
      <c r="B43" s="22"/>
      <c r="C43" s="45">
        <v>2052</v>
      </c>
      <c r="D43" s="51"/>
      <c r="E43" s="51"/>
      <c r="F43" s="56"/>
    </row>
    <row r="44" spans="1:7" s="46" customFormat="1" x14ac:dyDescent="0.25">
      <c r="A44" s="52" t="s">
        <v>215</v>
      </c>
      <c r="B44" s="22"/>
      <c r="C44" s="76">
        <v>380</v>
      </c>
      <c r="D44" s="51"/>
      <c r="E44" s="51"/>
      <c r="F44" s="56"/>
    </row>
    <row r="45" spans="1:7" s="46" customFormat="1" ht="30" customHeight="1" x14ac:dyDescent="0.25">
      <c r="A45" s="48" t="s">
        <v>217</v>
      </c>
      <c r="B45" s="22"/>
      <c r="C45" s="3">
        <f>SUM(C46,C47,C49)</f>
        <v>54307</v>
      </c>
      <c r="D45" s="51"/>
      <c r="E45" s="51"/>
      <c r="F45" s="56"/>
    </row>
    <row r="46" spans="1:7" s="46" customFormat="1" ht="30" x14ac:dyDescent="0.25">
      <c r="A46" s="52" t="s">
        <v>218</v>
      </c>
      <c r="B46" s="22"/>
      <c r="C46" s="3">
        <v>9705</v>
      </c>
      <c r="D46" s="51"/>
      <c r="E46" s="51"/>
      <c r="F46" s="56"/>
    </row>
    <row r="47" spans="1:7" s="46" customFormat="1" ht="45" x14ac:dyDescent="0.25">
      <c r="A47" s="52" t="s">
        <v>219</v>
      </c>
      <c r="B47" s="22"/>
      <c r="C47" s="42">
        <v>37379</v>
      </c>
      <c r="D47" s="51"/>
      <c r="E47" s="51"/>
      <c r="F47" s="56"/>
    </row>
    <row r="48" spans="1:7" s="46" customFormat="1" x14ac:dyDescent="0.25">
      <c r="A48" s="52" t="s">
        <v>215</v>
      </c>
      <c r="B48" s="22"/>
      <c r="C48" s="42">
        <v>11000</v>
      </c>
      <c r="D48" s="51"/>
      <c r="E48" s="51"/>
      <c r="F48" s="56"/>
    </row>
    <row r="49" spans="1:169" s="46" customFormat="1" ht="45" x14ac:dyDescent="0.25">
      <c r="A49" s="52" t="s">
        <v>220</v>
      </c>
      <c r="B49" s="22"/>
      <c r="C49" s="42">
        <v>7223</v>
      </c>
      <c r="D49" s="51"/>
      <c r="E49" s="51"/>
      <c r="F49" s="56"/>
    </row>
    <row r="50" spans="1:169" s="46" customFormat="1" x14ac:dyDescent="0.25">
      <c r="A50" s="52" t="s">
        <v>215</v>
      </c>
      <c r="B50" s="22"/>
      <c r="C50" s="42">
        <v>4126</v>
      </c>
      <c r="D50" s="51"/>
      <c r="E50" s="51"/>
      <c r="F50" s="56"/>
    </row>
    <row r="51" spans="1:169" s="46" customFormat="1" ht="31.5" customHeight="1" x14ac:dyDescent="0.25">
      <c r="A51" s="48" t="s">
        <v>221</v>
      </c>
      <c r="B51" s="22"/>
      <c r="C51" s="3"/>
      <c r="D51" s="51"/>
      <c r="E51" s="51"/>
      <c r="F51" s="56"/>
    </row>
    <row r="52" spans="1:169" s="46" customFormat="1" ht="15.75" customHeight="1" x14ac:dyDescent="0.25">
      <c r="A52" s="48" t="s">
        <v>222</v>
      </c>
      <c r="B52" s="22"/>
      <c r="C52" s="3"/>
      <c r="D52" s="51"/>
      <c r="E52" s="51"/>
      <c r="F52" s="56"/>
    </row>
    <row r="53" spans="1:169" s="46" customFormat="1" ht="15.75" customHeight="1" x14ac:dyDescent="0.25">
      <c r="A53" s="23" t="s">
        <v>223</v>
      </c>
      <c r="B53" s="22"/>
      <c r="C53" s="3"/>
      <c r="D53" s="51"/>
      <c r="E53" s="51"/>
      <c r="F53" s="56"/>
    </row>
    <row r="54" spans="1:169" s="46" customFormat="1" x14ac:dyDescent="0.25">
      <c r="A54" s="24" t="s">
        <v>118</v>
      </c>
      <c r="B54" s="47"/>
      <c r="C54" s="45"/>
      <c r="D54" s="51"/>
      <c r="E54" s="51"/>
      <c r="F54" s="56"/>
      <c r="G54" s="98"/>
    </row>
    <row r="55" spans="1:169" s="46" customFormat="1" x14ac:dyDescent="0.25">
      <c r="A55" s="44" t="s">
        <v>150</v>
      </c>
      <c r="B55" s="47"/>
      <c r="C55" s="76"/>
      <c r="D55" s="51"/>
      <c r="E55" s="51"/>
      <c r="F55" s="56"/>
      <c r="G55" s="98"/>
    </row>
    <row r="56" spans="1:169" s="46" customFormat="1" ht="30" x14ac:dyDescent="0.25">
      <c r="A56" s="24" t="s">
        <v>119</v>
      </c>
      <c r="B56" s="262"/>
      <c r="C56" s="3">
        <f>43000-C58</f>
        <v>39857</v>
      </c>
      <c r="D56" s="45"/>
      <c r="E56" s="45"/>
      <c r="F56" s="45"/>
    </row>
    <row r="57" spans="1:169" s="46" customFormat="1" ht="15.75" customHeight="1" x14ac:dyDescent="0.25">
      <c r="A57" s="24" t="s">
        <v>224</v>
      </c>
      <c r="B57" s="22"/>
      <c r="C57" s="3">
        <v>2640</v>
      </c>
      <c r="D57" s="51"/>
      <c r="E57" s="51"/>
      <c r="F57" s="56"/>
      <c r="G57" s="98"/>
    </row>
    <row r="58" spans="1:169" s="46" customFormat="1" ht="45" x14ac:dyDescent="0.25">
      <c r="A58" s="24" t="s">
        <v>296</v>
      </c>
      <c r="B58" s="22"/>
      <c r="C58" s="3">
        <v>3143</v>
      </c>
      <c r="D58" s="51"/>
      <c r="E58" s="51"/>
      <c r="F58" s="56"/>
      <c r="G58" s="98"/>
    </row>
    <row r="59" spans="1:169" s="46" customFormat="1" x14ac:dyDescent="0.25">
      <c r="A59" s="54" t="s">
        <v>152</v>
      </c>
      <c r="B59" s="22"/>
      <c r="C59" s="18">
        <f>C36+ROUND(C54*3.2,0)+C56+C58</f>
        <v>109500</v>
      </c>
      <c r="D59" s="51"/>
      <c r="E59" s="51"/>
      <c r="F59" s="56"/>
      <c r="G59" s="98"/>
    </row>
    <row r="60" spans="1:169" s="46" customFormat="1" x14ac:dyDescent="0.25">
      <c r="A60" s="55" t="s">
        <v>151</v>
      </c>
      <c r="B60" s="22"/>
      <c r="C60" s="18">
        <f>SUM(C34,C59)</f>
        <v>388726.30199430202</v>
      </c>
      <c r="D60" s="51"/>
      <c r="E60" s="51"/>
      <c r="F60" s="56"/>
    </row>
    <row r="61" spans="1:169" s="46" customFormat="1" ht="15.75" x14ac:dyDescent="0.25">
      <c r="A61" s="563" t="s">
        <v>120</v>
      </c>
      <c r="B61" s="22"/>
      <c r="C61" s="18">
        <f>SUM(C62:C63)</f>
        <v>1656</v>
      </c>
      <c r="D61" s="51"/>
      <c r="E61" s="51"/>
      <c r="F61" s="56"/>
    </row>
    <row r="62" spans="1:169" s="46" customFormat="1" ht="15.75" x14ac:dyDescent="0.25">
      <c r="A62" s="604" t="s">
        <v>19</v>
      </c>
      <c r="B62" s="22"/>
      <c r="C62" s="3">
        <v>1500</v>
      </c>
      <c r="D62" s="51"/>
      <c r="E62" s="51"/>
      <c r="F62" s="56"/>
    </row>
    <row r="63" spans="1:169" s="46" customFormat="1" ht="31.5" x14ac:dyDescent="0.25">
      <c r="A63" s="604" t="s">
        <v>250</v>
      </c>
      <c r="B63" s="22"/>
      <c r="C63" s="3">
        <v>156</v>
      </c>
      <c r="D63" s="51"/>
      <c r="E63" s="51"/>
      <c r="F63" s="56"/>
    </row>
    <row r="64" spans="1:169" s="46" customFormat="1" ht="18" customHeight="1" x14ac:dyDescent="0.25">
      <c r="A64" s="27" t="s">
        <v>7</v>
      </c>
      <c r="B64" s="605"/>
      <c r="C64" s="45"/>
      <c r="D64" s="100"/>
      <c r="E64" s="100"/>
      <c r="F64" s="4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  <c r="EL64" s="95"/>
      <c r="EM64" s="95"/>
      <c r="EN64" s="95"/>
      <c r="EO64" s="95"/>
      <c r="EP64" s="95"/>
      <c r="EQ64" s="95"/>
      <c r="ER64" s="95"/>
      <c r="ES64" s="95"/>
      <c r="ET64" s="95"/>
      <c r="EU64" s="95"/>
      <c r="EV64" s="95"/>
      <c r="EW64" s="95"/>
      <c r="EX64" s="95"/>
      <c r="EY64" s="95"/>
      <c r="EZ64" s="95"/>
      <c r="FA64" s="95"/>
      <c r="FB64" s="95"/>
      <c r="FC64" s="95"/>
      <c r="FD64" s="95"/>
      <c r="FE64" s="95"/>
      <c r="FF64" s="95"/>
      <c r="FG64" s="95"/>
      <c r="FH64" s="95"/>
      <c r="FI64" s="95"/>
      <c r="FJ64" s="95"/>
      <c r="FK64" s="95"/>
      <c r="FL64" s="95"/>
      <c r="FM64" s="95"/>
    </row>
    <row r="65" spans="1:169" s="46" customFormat="1" ht="18" customHeight="1" x14ac:dyDescent="0.25">
      <c r="A65" s="86" t="s">
        <v>139</v>
      </c>
      <c r="B65" s="605"/>
      <c r="C65" s="45"/>
      <c r="D65" s="100"/>
      <c r="E65" s="100"/>
      <c r="F65" s="4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5"/>
      <c r="DD65" s="95"/>
      <c r="DE65" s="95"/>
      <c r="DF65" s="95"/>
      <c r="DG65" s="95"/>
      <c r="DH65" s="95"/>
      <c r="DI65" s="95"/>
      <c r="DJ65" s="95"/>
      <c r="DK65" s="95"/>
      <c r="DL65" s="95"/>
      <c r="DM65" s="95"/>
      <c r="DN65" s="95"/>
      <c r="DO65" s="95"/>
      <c r="DP65" s="95"/>
      <c r="DQ65" s="95"/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/>
      <c r="EE65" s="95"/>
      <c r="EF65" s="95"/>
      <c r="EG65" s="95"/>
      <c r="EH65" s="95"/>
      <c r="EI65" s="95"/>
      <c r="EJ65" s="95"/>
      <c r="EK65" s="95"/>
      <c r="EL65" s="95"/>
      <c r="EM65" s="95"/>
      <c r="EN65" s="95"/>
      <c r="EO65" s="95"/>
      <c r="EP65" s="95"/>
      <c r="EQ65" s="95"/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/>
      <c r="FE65" s="95"/>
      <c r="FF65" s="95"/>
      <c r="FG65" s="95"/>
      <c r="FH65" s="95"/>
      <c r="FI65" s="95"/>
      <c r="FJ65" s="95"/>
      <c r="FK65" s="95"/>
      <c r="FL65" s="95"/>
      <c r="FM65" s="95"/>
    </row>
    <row r="66" spans="1:169" s="46" customFormat="1" ht="18" customHeight="1" x14ac:dyDescent="0.25">
      <c r="A66" s="29" t="s">
        <v>21</v>
      </c>
      <c r="B66" s="606">
        <v>300</v>
      </c>
      <c r="C66" s="45">
        <v>226</v>
      </c>
      <c r="D66" s="111">
        <v>10</v>
      </c>
      <c r="E66" s="100">
        <f t="shared" ref="E66:E73" si="2">ROUND(F66/B66,0)</f>
        <v>8</v>
      </c>
      <c r="F66" s="3">
        <f t="shared" ref="F66:F73" si="3">ROUND(C66*D66,0)</f>
        <v>2260</v>
      </c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/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/>
      <c r="DR66" s="95"/>
      <c r="DS66" s="95"/>
      <c r="DT66" s="95"/>
      <c r="DU66" s="95"/>
      <c r="DV66" s="95"/>
      <c r="DW66" s="95"/>
      <c r="DX66" s="95"/>
      <c r="DY66" s="95"/>
      <c r="DZ66" s="95"/>
      <c r="EA66" s="95"/>
      <c r="EB66" s="95"/>
      <c r="EC66" s="95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Q66" s="95"/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95"/>
      <c r="FH66" s="95"/>
      <c r="FI66" s="95"/>
      <c r="FJ66" s="95"/>
      <c r="FK66" s="95"/>
      <c r="FL66" s="95"/>
      <c r="FM66" s="95"/>
    </row>
    <row r="67" spans="1:169" s="46" customFormat="1" x14ac:dyDescent="0.25">
      <c r="A67" s="29" t="s">
        <v>22</v>
      </c>
      <c r="B67" s="606">
        <v>300</v>
      </c>
      <c r="C67" s="45">
        <v>14</v>
      </c>
      <c r="D67" s="111">
        <v>10</v>
      </c>
      <c r="E67" s="100">
        <f t="shared" si="2"/>
        <v>0</v>
      </c>
      <c r="F67" s="3">
        <f t="shared" si="3"/>
        <v>140</v>
      </c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</row>
    <row r="68" spans="1:169" s="46" customFormat="1" x14ac:dyDescent="0.25">
      <c r="A68" s="29" t="s">
        <v>57</v>
      </c>
      <c r="B68" s="606">
        <v>300</v>
      </c>
      <c r="C68" s="45">
        <v>100</v>
      </c>
      <c r="D68" s="111">
        <v>12</v>
      </c>
      <c r="E68" s="100">
        <f t="shared" si="2"/>
        <v>4</v>
      </c>
      <c r="F68" s="3">
        <f t="shared" si="3"/>
        <v>1200</v>
      </c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</row>
    <row r="69" spans="1:169" s="46" customFormat="1" x14ac:dyDescent="0.25">
      <c r="A69" s="29" t="s">
        <v>58</v>
      </c>
      <c r="B69" s="606">
        <v>300</v>
      </c>
      <c r="C69" s="45">
        <v>99</v>
      </c>
      <c r="D69" s="111">
        <v>8.5</v>
      </c>
      <c r="E69" s="100">
        <f t="shared" si="2"/>
        <v>3</v>
      </c>
      <c r="F69" s="3">
        <f t="shared" si="3"/>
        <v>842</v>
      </c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</row>
    <row r="70" spans="1:169" s="46" customFormat="1" x14ac:dyDescent="0.25">
      <c r="A70" s="29" t="s">
        <v>11</v>
      </c>
      <c r="B70" s="606">
        <v>300</v>
      </c>
      <c r="C70" s="45">
        <v>456</v>
      </c>
      <c r="D70" s="111">
        <v>7</v>
      </c>
      <c r="E70" s="100">
        <f t="shared" si="2"/>
        <v>11</v>
      </c>
      <c r="F70" s="3">
        <f t="shared" si="3"/>
        <v>3192</v>
      </c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</row>
    <row r="71" spans="1:169" s="46" customFormat="1" x14ac:dyDescent="0.25">
      <c r="A71" s="29" t="s">
        <v>23</v>
      </c>
      <c r="B71" s="606">
        <v>300</v>
      </c>
      <c r="C71" s="45">
        <v>260</v>
      </c>
      <c r="D71" s="111">
        <v>6</v>
      </c>
      <c r="E71" s="100">
        <f t="shared" si="2"/>
        <v>5</v>
      </c>
      <c r="F71" s="3">
        <f t="shared" si="3"/>
        <v>1560</v>
      </c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</row>
    <row r="72" spans="1:169" s="46" customFormat="1" x14ac:dyDescent="0.25">
      <c r="A72" s="29" t="s">
        <v>24</v>
      </c>
      <c r="B72" s="606">
        <v>300</v>
      </c>
      <c r="C72" s="45">
        <v>100</v>
      </c>
      <c r="D72" s="111">
        <v>7</v>
      </c>
      <c r="E72" s="100">
        <f t="shared" si="2"/>
        <v>2</v>
      </c>
      <c r="F72" s="3">
        <f t="shared" si="3"/>
        <v>700</v>
      </c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</row>
    <row r="73" spans="1:169" s="46" customFormat="1" x14ac:dyDescent="0.25">
      <c r="A73" s="29" t="s">
        <v>26</v>
      </c>
      <c r="B73" s="606">
        <v>300</v>
      </c>
      <c r="C73" s="45">
        <v>120</v>
      </c>
      <c r="D73" s="111">
        <v>9.8000000000000007</v>
      </c>
      <c r="E73" s="100">
        <f t="shared" si="2"/>
        <v>4</v>
      </c>
      <c r="F73" s="3">
        <f t="shared" si="3"/>
        <v>1176</v>
      </c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</row>
    <row r="74" spans="1:169" s="46" customFormat="1" x14ac:dyDescent="0.25">
      <c r="A74" s="29" t="s">
        <v>27</v>
      </c>
      <c r="B74" s="606">
        <v>300</v>
      </c>
      <c r="C74" s="45">
        <v>30</v>
      </c>
      <c r="D74" s="111">
        <v>28</v>
      </c>
      <c r="E74" s="100">
        <f t="shared" ref="E74" si="4">ROUND(F74/B74,0)</f>
        <v>3</v>
      </c>
      <c r="F74" s="3">
        <f t="shared" ref="F74" si="5">ROUND(C74*D74,0)</f>
        <v>840</v>
      </c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</row>
    <row r="75" spans="1:169" s="46" customFormat="1" x14ac:dyDescent="0.25">
      <c r="A75" s="34" t="s">
        <v>9</v>
      </c>
      <c r="B75" s="606"/>
      <c r="C75" s="594">
        <f>SUM(C66:C74)</f>
        <v>1405</v>
      </c>
      <c r="D75" s="107">
        <f>F75/C75</f>
        <v>8.4768683274021353</v>
      </c>
      <c r="E75" s="594">
        <f t="shared" ref="E75:F75" si="6">SUM(E66:E74)</f>
        <v>40</v>
      </c>
      <c r="F75" s="594">
        <f t="shared" si="6"/>
        <v>11910</v>
      </c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</row>
    <row r="76" spans="1:169" s="46" customFormat="1" x14ac:dyDescent="0.25">
      <c r="A76" s="43" t="s">
        <v>76</v>
      </c>
      <c r="B76" s="606"/>
      <c r="C76" s="594"/>
      <c r="D76" s="102"/>
      <c r="E76" s="594"/>
      <c r="F76" s="594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</row>
    <row r="77" spans="1:169" s="46" customFormat="1" x14ac:dyDescent="0.25">
      <c r="A77" s="30" t="s">
        <v>37</v>
      </c>
      <c r="B77" s="606">
        <v>240</v>
      </c>
      <c r="C77" s="45">
        <v>1852</v>
      </c>
      <c r="D77" s="111">
        <v>8</v>
      </c>
      <c r="E77" s="100">
        <f>ROUND(F77/B77,0)</f>
        <v>62</v>
      </c>
      <c r="F77" s="3">
        <f>ROUND(C77*D77,0)</f>
        <v>14816</v>
      </c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</row>
    <row r="78" spans="1:169" s="46" customFormat="1" x14ac:dyDescent="0.25">
      <c r="A78" s="30" t="s">
        <v>106</v>
      </c>
      <c r="B78" s="606">
        <v>239</v>
      </c>
      <c r="C78" s="607">
        <f>120-80</f>
        <v>40</v>
      </c>
      <c r="D78" s="111">
        <v>2.1</v>
      </c>
      <c r="E78" s="100">
        <f>ROUND(F78/B78,0)</f>
        <v>0</v>
      </c>
      <c r="F78" s="3">
        <f>ROUND(C78*D78,0)</f>
        <v>84</v>
      </c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</row>
    <row r="79" spans="1:169" s="46" customFormat="1" x14ac:dyDescent="0.25">
      <c r="A79" s="30" t="s">
        <v>26</v>
      </c>
      <c r="B79" s="606">
        <v>240</v>
      </c>
      <c r="C79" s="607">
        <v>448</v>
      </c>
      <c r="D79" s="111">
        <v>8</v>
      </c>
      <c r="E79" s="608">
        <f>ROUND(F79/B79,0)</f>
        <v>15</v>
      </c>
      <c r="F79" s="3">
        <f>ROUND(C79*D79,0)</f>
        <v>3584</v>
      </c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</row>
    <row r="80" spans="1:169" s="46" customFormat="1" x14ac:dyDescent="0.25">
      <c r="A80" s="96" t="s">
        <v>141</v>
      </c>
      <c r="B80" s="609"/>
      <c r="C80" s="112">
        <f>SUM(C77:C79)</f>
        <v>2340</v>
      </c>
      <c r="D80" s="107">
        <f t="shared" ref="D80:D81" si="7">F80/C80</f>
        <v>7.8991452991452995</v>
      </c>
      <c r="E80" s="112">
        <f t="shared" ref="E80:F80" si="8">SUM(E77:E79)</f>
        <v>77</v>
      </c>
      <c r="F80" s="112">
        <f t="shared" si="8"/>
        <v>18484</v>
      </c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5"/>
      <c r="DD80" s="95"/>
      <c r="DE80" s="95"/>
      <c r="DF80" s="95"/>
      <c r="DG80" s="95"/>
      <c r="DH80" s="95"/>
      <c r="DI80" s="95"/>
      <c r="DJ80" s="95"/>
      <c r="DK80" s="95"/>
      <c r="DL80" s="95"/>
      <c r="DM80" s="95"/>
      <c r="DN80" s="95"/>
      <c r="DO80" s="95"/>
      <c r="DP80" s="95"/>
      <c r="DQ80" s="95"/>
      <c r="DR80" s="95"/>
      <c r="DS80" s="95"/>
      <c r="DT80" s="95"/>
      <c r="DU80" s="95"/>
      <c r="DV80" s="95"/>
      <c r="DW80" s="95"/>
      <c r="DX80" s="95"/>
      <c r="DY80" s="95"/>
      <c r="DZ80" s="95"/>
      <c r="EA80" s="95"/>
      <c r="EB80" s="95"/>
      <c r="EC80" s="95"/>
      <c r="ED80" s="95"/>
      <c r="EE80" s="95"/>
      <c r="EF80" s="95"/>
      <c r="EG80" s="95"/>
      <c r="EH80" s="95"/>
      <c r="EI80" s="95"/>
      <c r="EJ80" s="95"/>
      <c r="EK80" s="95"/>
      <c r="EL80" s="95"/>
      <c r="EM80" s="95"/>
      <c r="EN80" s="95"/>
      <c r="EO80" s="95"/>
      <c r="EP80" s="95"/>
      <c r="EQ80" s="95"/>
      <c r="ER80" s="95"/>
      <c r="ES80" s="95"/>
      <c r="ET80" s="95"/>
      <c r="EU80" s="95"/>
      <c r="EV80" s="95"/>
      <c r="EW80" s="95"/>
      <c r="EX80" s="95"/>
      <c r="EY80" s="95"/>
      <c r="EZ80" s="95"/>
      <c r="FA80" s="95"/>
      <c r="FB80" s="95"/>
      <c r="FC80" s="95"/>
      <c r="FD80" s="95"/>
      <c r="FE80" s="95"/>
      <c r="FF80" s="95"/>
      <c r="FG80" s="95"/>
      <c r="FH80" s="95"/>
      <c r="FI80" s="95"/>
      <c r="FJ80" s="95"/>
      <c r="FK80" s="95"/>
      <c r="FL80" s="95"/>
      <c r="FM80" s="95"/>
    </row>
    <row r="81" spans="1:169" ht="18.75" customHeight="1" x14ac:dyDescent="0.25">
      <c r="A81" s="106" t="s">
        <v>116</v>
      </c>
      <c r="B81" s="324"/>
      <c r="C81" s="113">
        <f>C75+C80</f>
        <v>3745</v>
      </c>
      <c r="D81" s="107">
        <f t="shared" si="7"/>
        <v>8.1158878504672902</v>
      </c>
      <c r="E81" s="113">
        <f>E75+E80</f>
        <v>117</v>
      </c>
      <c r="F81" s="113">
        <f>F75+F80</f>
        <v>30394</v>
      </c>
    </row>
    <row r="82" spans="1:169" ht="18.75" customHeight="1" x14ac:dyDescent="0.25">
      <c r="A82" s="40" t="s">
        <v>172</v>
      </c>
      <c r="B82" s="605"/>
      <c r="C82" s="47">
        <f>C83+C85</f>
        <v>10010</v>
      </c>
      <c r="D82" s="107"/>
      <c r="E82" s="47"/>
      <c r="F82" s="50"/>
    </row>
    <row r="83" spans="1:169" ht="18.75" customHeight="1" x14ac:dyDescent="0.25">
      <c r="A83" s="40" t="s">
        <v>167</v>
      </c>
      <c r="B83" s="605"/>
      <c r="C83" s="47">
        <f>C84</f>
        <v>10000</v>
      </c>
      <c r="D83" s="610"/>
      <c r="E83" s="611"/>
      <c r="F83" s="612"/>
    </row>
    <row r="84" spans="1:169" ht="18.75" customHeight="1" x14ac:dyDescent="0.25">
      <c r="A84" s="41" t="s">
        <v>168</v>
      </c>
      <c r="B84" s="605"/>
      <c r="C84" s="45">
        <v>10000</v>
      </c>
      <c r="D84" s="107"/>
      <c r="E84" s="47"/>
      <c r="F84" s="50"/>
    </row>
    <row r="85" spans="1:169" ht="18.75" customHeight="1" x14ac:dyDescent="0.25">
      <c r="A85" s="40" t="s">
        <v>169</v>
      </c>
      <c r="B85" s="605"/>
      <c r="C85" s="47">
        <f>C86+C87</f>
        <v>10</v>
      </c>
      <c r="D85" s="107"/>
      <c r="E85" s="47"/>
      <c r="F85" s="50"/>
    </row>
    <row r="86" spans="1:169" ht="30" customHeight="1" x14ac:dyDescent="0.25">
      <c r="A86" s="114" t="s">
        <v>170</v>
      </c>
      <c r="B86" s="605"/>
      <c r="C86" s="45">
        <f>15-5</f>
        <v>10</v>
      </c>
      <c r="D86" s="107"/>
      <c r="E86" s="47"/>
      <c r="F86" s="50"/>
    </row>
    <row r="87" spans="1:169" ht="18.75" customHeight="1" thickBot="1" x14ac:dyDescent="0.3">
      <c r="A87" s="613" t="s">
        <v>171</v>
      </c>
      <c r="B87" s="614"/>
      <c r="C87" s="615"/>
      <c r="D87" s="616"/>
      <c r="E87" s="615"/>
      <c r="F87" s="617"/>
    </row>
    <row r="88" spans="1:169" s="116" customFormat="1" ht="15.75" customHeight="1" thickBot="1" x14ac:dyDescent="0.3">
      <c r="A88" s="115" t="s">
        <v>10</v>
      </c>
      <c r="B88" s="618"/>
      <c r="C88" s="618"/>
      <c r="D88" s="618"/>
      <c r="E88" s="618"/>
      <c r="F88" s="618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</row>
    <row r="89" spans="1:169" s="68" customFormat="1" hidden="1" x14ac:dyDescent="0.25">
      <c r="A89" s="62"/>
      <c r="B89" s="386"/>
      <c r="C89" s="45"/>
      <c r="D89" s="45"/>
      <c r="E89" s="45"/>
      <c r="F89" s="45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46"/>
      <c r="BC89" s="46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46"/>
      <c r="CD89" s="46"/>
      <c r="CE89" s="46"/>
      <c r="CF89" s="46"/>
      <c r="CG89" s="46"/>
      <c r="CH89" s="46"/>
      <c r="CI89" s="46"/>
      <c r="CJ89" s="46"/>
      <c r="CK89" s="46"/>
      <c r="CL89" s="46"/>
      <c r="CM89" s="46"/>
      <c r="CN89" s="46"/>
      <c r="CO89" s="46"/>
      <c r="CP89" s="46"/>
      <c r="CQ89" s="46"/>
      <c r="CR89" s="46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46"/>
      <c r="DF89" s="46"/>
      <c r="DG89" s="46"/>
      <c r="DH89" s="46"/>
      <c r="DI89" s="46"/>
      <c r="DJ89" s="46"/>
      <c r="DK89" s="46"/>
      <c r="DL89" s="46"/>
      <c r="DM89" s="46"/>
      <c r="DN89" s="46"/>
      <c r="DO89" s="46"/>
      <c r="DP89" s="46"/>
      <c r="DQ89" s="46"/>
      <c r="DR89" s="46"/>
      <c r="DS89" s="46"/>
      <c r="DT89" s="46"/>
      <c r="DU89" s="46"/>
      <c r="DV89" s="46"/>
      <c r="DW89" s="46"/>
      <c r="DX89" s="46"/>
      <c r="DY89" s="46"/>
      <c r="DZ89" s="46"/>
      <c r="EA89" s="46"/>
      <c r="EB89" s="46"/>
      <c r="EC89" s="46"/>
      <c r="ED89" s="46"/>
      <c r="EE89" s="46"/>
      <c r="EF89" s="46"/>
      <c r="EG89" s="46"/>
      <c r="EH89" s="46"/>
      <c r="EI89" s="46"/>
      <c r="EJ89" s="46"/>
      <c r="EK89" s="46"/>
      <c r="EL89" s="46"/>
      <c r="EM89" s="46"/>
      <c r="EN89" s="46"/>
      <c r="EO89" s="46"/>
      <c r="EP89" s="46"/>
      <c r="EQ89" s="46"/>
      <c r="ER89" s="46"/>
      <c r="ES89" s="46"/>
      <c r="ET89" s="46"/>
      <c r="EU89" s="46"/>
      <c r="EV89" s="46"/>
      <c r="EW89" s="46"/>
      <c r="EX89" s="46"/>
      <c r="EY89" s="46"/>
      <c r="EZ89" s="46"/>
      <c r="FA89" s="46"/>
      <c r="FB89" s="46"/>
      <c r="FC89" s="46"/>
      <c r="FD89" s="46"/>
      <c r="FE89" s="46"/>
      <c r="FF89" s="46"/>
      <c r="FG89" s="46"/>
      <c r="FH89" s="46"/>
      <c r="FI89" s="46"/>
      <c r="FJ89" s="46"/>
      <c r="FK89" s="46"/>
      <c r="FL89" s="46"/>
      <c r="FM89" s="46"/>
    </row>
    <row r="90" spans="1:169" s="68" customFormat="1" ht="18.75" hidden="1" customHeight="1" x14ac:dyDescent="0.25">
      <c r="A90" s="619" t="s">
        <v>122</v>
      </c>
      <c r="B90" s="57"/>
      <c r="C90" s="45"/>
      <c r="D90" s="45"/>
      <c r="E90" s="45"/>
      <c r="F90" s="45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46"/>
      <c r="AD90" s="46"/>
      <c r="AE90" s="46"/>
      <c r="AF90" s="46"/>
      <c r="AG90" s="46"/>
      <c r="AH90" s="46"/>
      <c r="AI90" s="46"/>
      <c r="AJ90" s="46"/>
      <c r="AK90" s="46"/>
      <c r="AL90" s="46"/>
      <c r="AM90" s="46"/>
      <c r="AN90" s="46"/>
      <c r="AO90" s="46"/>
      <c r="AP90" s="46"/>
      <c r="AQ90" s="46"/>
      <c r="AR90" s="46"/>
      <c r="AS90" s="46"/>
      <c r="AT90" s="46"/>
      <c r="AU90" s="46"/>
      <c r="AV90" s="46"/>
      <c r="AW90" s="46"/>
      <c r="AX90" s="46"/>
      <c r="AY90" s="46"/>
      <c r="AZ90" s="46"/>
      <c r="BA90" s="46"/>
      <c r="BB90" s="46"/>
      <c r="BC90" s="46"/>
      <c r="BD90" s="46"/>
      <c r="BE90" s="46"/>
      <c r="BF90" s="46"/>
      <c r="BG90" s="46"/>
      <c r="BH90" s="46"/>
      <c r="BI90" s="46"/>
      <c r="BJ90" s="46"/>
      <c r="BK90" s="46"/>
      <c r="BL90" s="46"/>
      <c r="BM90" s="46"/>
      <c r="BN90" s="46"/>
      <c r="BO90" s="46"/>
      <c r="BP90" s="46"/>
      <c r="BQ90" s="46"/>
      <c r="BR90" s="46"/>
      <c r="BS90" s="46"/>
      <c r="BT90" s="46"/>
      <c r="BU90" s="46"/>
      <c r="BV90" s="46"/>
      <c r="BW90" s="46"/>
      <c r="BX90" s="46"/>
      <c r="BY90" s="46"/>
      <c r="BZ90" s="46"/>
      <c r="CA90" s="46"/>
      <c r="CB90" s="46"/>
      <c r="CC90" s="46"/>
      <c r="CD90" s="46"/>
      <c r="CE90" s="46"/>
      <c r="CF90" s="46"/>
      <c r="CG90" s="46"/>
      <c r="CH90" s="46"/>
      <c r="CI90" s="46"/>
      <c r="CJ90" s="46"/>
      <c r="CK90" s="46"/>
      <c r="CL90" s="46"/>
      <c r="CM90" s="46"/>
      <c r="CN90" s="46"/>
      <c r="CO90" s="46"/>
      <c r="CP90" s="46"/>
      <c r="CQ90" s="46"/>
      <c r="CR90" s="46"/>
      <c r="CS90" s="46"/>
      <c r="CT90" s="46"/>
      <c r="CU90" s="46"/>
      <c r="CV90" s="46"/>
      <c r="CW90" s="46"/>
      <c r="CX90" s="46"/>
      <c r="CY90" s="46"/>
      <c r="CZ90" s="46"/>
      <c r="DA90" s="46"/>
      <c r="DB90" s="46"/>
      <c r="DC90" s="46"/>
      <c r="DD90" s="46"/>
      <c r="DE90" s="46"/>
      <c r="DF90" s="46"/>
      <c r="DG90" s="46"/>
      <c r="DH90" s="46"/>
      <c r="DI90" s="46"/>
      <c r="DJ90" s="46"/>
      <c r="DK90" s="46"/>
      <c r="DL90" s="46"/>
      <c r="DM90" s="46"/>
      <c r="DN90" s="46"/>
      <c r="DO90" s="46"/>
      <c r="DP90" s="46"/>
      <c r="DQ90" s="46"/>
      <c r="DR90" s="46"/>
      <c r="DS90" s="46"/>
      <c r="DT90" s="46"/>
      <c r="DU90" s="46"/>
      <c r="DV90" s="46"/>
      <c r="DW90" s="46"/>
      <c r="DX90" s="46"/>
      <c r="DY90" s="46"/>
      <c r="DZ90" s="46"/>
      <c r="EA90" s="46"/>
      <c r="EB90" s="46"/>
      <c r="EC90" s="46"/>
      <c r="ED90" s="46"/>
      <c r="EE90" s="46"/>
      <c r="EF90" s="46"/>
      <c r="EG90" s="46"/>
      <c r="EH90" s="46"/>
      <c r="EI90" s="46"/>
      <c r="EJ90" s="46"/>
      <c r="EK90" s="46"/>
      <c r="EL90" s="46"/>
      <c r="EM90" s="46"/>
      <c r="EN90" s="46"/>
      <c r="EO90" s="46"/>
      <c r="EP90" s="46"/>
      <c r="EQ90" s="46"/>
      <c r="ER90" s="46"/>
      <c r="ES90" s="46"/>
      <c r="ET90" s="46"/>
      <c r="EU90" s="46"/>
      <c r="EV90" s="46"/>
      <c r="EW90" s="46"/>
      <c r="EX90" s="46"/>
      <c r="EY90" s="46"/>
      <c r="EZ90" s="46"/>
      <c r="FA90" s="46"/>
      <c r="FB90" s="46"/>
      <c r="FC90" s="46"/>
      <c r="FD90" s="46"/>
      <c r="FE90" s="46"/>
      <c r="FF90" s="46"/>
      <c r="FG90" s="46"/>
      <c r="FH90" s="46"/>
      <c r="FI90" s="46"/>
      <c r="FJ90" s="46"/>
      <c r="FK90" s="46"/>
      <c r="FL90" s="46"/>
      <c r="FM90" s="46"/>
    </row>
    <row r="91" spans="1:169" s="68" customFormat="1" hidden="1" x14ac:dyDescent="0.25">
      <c r="A91" s="21" t="s">
        <v>185</v>
      </c>
      <c r="B91" s="22"/>
      <c r="C91" s="3"/>
      <c r="D91" s="45"/>
      <c r="E91" s="45"/>
      <c r="F91" s="45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6"/>
      <c r="BR91" s="46"/>
      <c r="BS91" s="46"/>
      <c r="BT91" s="46"/>
      <c r="BU91" s="46"/>
      <c r="BV91" s="46"/>
      <c r="BW91" s="46"/>
      <c r="BX91" s="46"/>
      <c r="BY91" s="46"/>
      <c r="BZ91" s="46"/>
      <c r="CA91" s="46"/>
      <c r="CB91" s="46"/>
      <c r="CC91" s="46"/>
      <c r="CD91" s="46"/>
      <c r="CE91" s="46"/>
      <c r="CF91" s="46"/>
      <c r="CG91" s="46"/>
      <c r="CH91" s="46"/>
      <c r="CI91" s="46"/>
      <c r="CJ91" s="46"/>
      <c r="CK91" s="46"/>
      <c r="CL91" s="46"/>
      <c r="CM91" s="46"/>
      <c r="CN91" s="46"/>
      <c r="CO91" s="46"/>
      <c r="CP91" s="46"/>
      <c r="CQ91" s="46"/>
      <c r="CR91" s="46"/>
      <c r="CS91" s="46"/>
      <c r="CT91" s="46"/>
      <c r="CU91" s="46"/>
      <c r="CV91" s="46"/>
      <c r="CW91" s="46"/>
      <c r="CX91" s="46"/>
      <c r="CY91" s="46"/>
      <c r="CZ91" s="46"/>
      <c r="DA91" s="46"/>
      <c r="DB91" s="46"/>
      <c r="DC91" s="46"/>
      <c r="DD91" s="46"/>
      <c r="DE91" s="46"/>
      <c r="DF91" s="46"/>
      <c r="DG91" s="46"/>
      <c r="DH91" s="46"/>
      <c r="DI91" s="46"/>
      <c r="DJ91" s="46"/>
      <c r="DK91" s="46"/>
      <c r="DL91" s="46"/>
      <c r="DM91" s="46"/>
      <c r="DN91" s="46"/>
      <c r="DO91" s="46"/>
      <c r="DP91" s="46"/>
      <c r="DQ91" s="46"/>
      <c r="DR91" s="46"/>
      <c r="DS91" s="46"/>
      <c r="DT91" s="46"/>
      <c r="DU91" s="46"/>
      <c r="DV91" s="46"/>
      <c r="DW91" s="46"/>
      <c r="DX91" s="46"/>
      <c r="DY91" s="46"/>
      <c r="DZ91" s="46"/>
      <c r="EA91" s="46"/>
      <c r="EB91" s="46"/>
      <c r="EC91" s="46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46"/>
      <c r="ER91" s="46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46"/>
      <c r="FG91" s="46"/>
      <c r="FH91" s="46"/>
      <c r="FI91" s="46"/>
      <c r="FJ91" s="46"/>
      <c r="FK91" s="46"/>
      <c r="FL91" s="46"/>
      <c r="FM91" s="46"/>
    </row>
    <row r="92" spans="1:169" s="68" customFormat="1" hidden="1" x14ac:dyDescent="0.25">
      <c r="A92" s="23" t="s">
        <v>323</v>
      </c>
      <c r="B92" s="22"/>
      <c r="C92" s="3">
        <f>C93/2.7</f>
        <v>4444.4444444444443</v>
      </c>
      <c r="D92" s="45"/>
      <c r="E92" s="45"/>
      <c r="F92" s="45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6"/>
      <c r="BR92" s="46"/>
      <c r="BS92" s="46"/>
      <c r="BT92" s="46"/>
      <c r="BU92" s="46"/>
      <c r="BV92" s="46"/>
      <c r="BW92" s="46"/>
      <c r="BX92" s="46"/>
      <c r="BY92" s="46"/>
      <c r="BZ92" s="46"/>
      <c r="CA92" s="46"/>
      <c r="CB92" s="46"/>
      <c r="CC92" s="46"/>
      <c r="CD92" s="46"/>
      <c r="CE92" s="46"/>
      <c r="CF92" s="46"/>
      <c r="CG92" s="46"/>
      <c r="CH92" s="46"/>
      <c r="CI92" s="46"/>
      <c r="CJ92" s="46"/>
      <c r="CK92" s="46"/>
      <c r="CL92" s="46"/>
      <c r="CM92" s="46"/>
      <c r="CN92" s="46"/>
      <c r="CO92" s="46"/>
      <c r="CP92" s="46"/>
      <c r="CQ92" s="46"/>
      <c r="CR92" s="46"/>
      <c r="CS92" s="46"/>
      <c r="CT92" s="46"/>
      <c r="CU92" s="46"/>
      <c r="CV92" s="46"/>
      <c r="CW92" s="46"/>
      <c r="CX92" s="46"/>
      <c r="CY92" s="46"/>
      <c r="CZ92" s="46"/>
      <c r="DA92" s="46"/>
      <c r="DB92" s="46"/>
      <c r="DC92" s="46"/>
      <c r="DD92" s="46"/>
      <c r="DE92" s="46"/>
      <c r="DF92" s="46"/>
      <c r="DG92" s="46"/>
      <c r="DH92" s="46"/>
      <c r="DI92" s="46"/>
      <c r="DJ92" s="46"/>
      <c r="DK92" s="46"/>
      <c r="DL92" s="46"/>
      <c r="DM92" s="46"/>
      <c r="DN92" s="46"/>
      <c r="DO92" s="46"/>
      <c r="DP92" s="46"/>
      <c r="DQ92" s="46"/>
      <c r="DR92" s="46"/>
      <c r="DS92" s="46"/>
      <c r="DT92" s="46"/>
      <c r="DU92" s="46"/>
      <c r="DV92" s="46"/>
      <c r="DW92" s="46"/>
      <c r="DX92" s="46"/>
      <c r="DY92" s="46"/>
      <c r="DZ92" s="46"/>
      <c r="EA92" s="46"/>
      <c r="EB92" s="46"/>
      <c r="EC92" s="46"/>
      <c r="ED92" s="46"/>
      <c r="EE92" s="46"/>
      <c r="EF92" s="46"/>
      <c r="EG92" s="46"/>
      <c r="EH92" s="46"/>
      <c r="EI92" s="46"/>
      <c r="EJ92" s="46"/>
      <c r="EK92" s="46"/>
      <c r="EL92" s="46"/>
      <c r="EM92" s="46"/>
      <c r="EN92" s="46"/>
      <c r="EO92" s="46"/>
      <c r="EP92" s="46"/>
      <c r="EQ92" s="46"/>
      <c r="ER92" s="46"/>
      <c r="ES92" s="46"/>
      <c r="ET92" s="46"/>
      <c r="EU92" s="46"/>
      <c r="EV92" s="46"/>
      <c r="EW92" s="46"/>
      <c r="EX92" s="46"/>
      <c r="EY92" s="46"/>
      <c r="EZ92" s="46"/>
      <c r="FA92" s="46"/>
      <c r="FB92" s="46"/>
      <c r="FC92" s="46"/>
      <c r="FD92" s="46"/>
      <c r="FE92" s="46"/>
      <c r="FF92" s="46"/>
      <c r="FG92" s="46"/>
      <c r="FH92" s="46"/>
      <c r="FI92" s="46"/>
      <c r="FJ92" s="46"/>
      <c r="FK92" s="46"/>
      <c r="FL92" s="46"/>
      <c r="FM92" s="46"/>
    </row>
    <row r="93" spans="1:169" s="68" customFormat="1" hidden="1" x14ac:dyDescent="0.25">
      <c r="A93" s="23" t="s">
        <v>286</v>
      </c>
      <c r="B93" s="28"/>
      <c r="C93" s="3">
        <v>12000</v>
      </c>
      <c r="D93" s="28"/>
      <c r="E93" s="28"/>
      <c r="F93" s="28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6"/>
      <c r="BE93" s="46"/>
      <c r="BF93" s="46"/>
      <c r="BG93" s="46"/>
      <c r="BH93" s="46"/>
      <c r="BI93" s="46"/>
      <c r="BJ93" s="46"/>
      <c r="BK93" s="46"/>
      <c r="BL93" s="46"/>
      <c r="BM93" s="46"/>
      <c r="BN93" s="46"/>
      <c r="BO93" s="46"/>
      <c r="BP93" s="46"/>
      <c r="BQ93" s="46"/>
      <c r="BR93" s="46"/>
      <c r="BS93" s="46"/>
      <c r="BT93" s="46"/>
      <c r="BU93" s="46"/>
      <c r="BV93" s="46"/>
      <c r="BW93" s="46"/>
      <c r="BX93" s="46"/>
      <c r="BY93" s="46"/>
      <c r="BZ93" s="46"/>
      <c r="CA93" s="46"/>
      <c r="CB93" s="46"/>
      <c r="CC93" s="46"/>
      <c r="CD93" s="46"/>
      <c r="CE93" s="46"/>
      <c r="CF93" s="46"/>
      <c r="CG93" s="46"/>
      <c r="CH93" s="46"/>
      <c r="CI93" s="46"/>
      <c r="CJ93" s="46"/>
      <c r="CK93" s="46"/>
      <c r="CL93" s="46"/>
      <c r="CM93" s="46"/>
      <c r="CN93" s="46"/>
      <c r="CO93" s="46"/>
      <c r="CP93" s="46"/>
      <c r="CQ93" s="46"/>
      <c r="CR93" s="46"/>
      <c r="CS93" s="46"/>
      <c r="CT93" s="46"/>
      <c r="CU93" s="46"/>
      <c r="CV93" s="46"/>
      <c r="CW93" s="46"/>
      <c r="CX93" s="46"/>
      <c r="CY93" s="46"/>
      <c r="CZ93" s="46"/>
      <c r="DA93" s="46"/>
      <c r="DB93" s="46"/>
      <c r="DC93" s="46"/>
      <c r="DD93" s="46"/>
      <c r="DE93" s="46"/>
      <c r="DF93" s="46"/>
      <c r="DG93" s="46"/>
      <c r="DH93" s="46"/>
      <c r="DI93" s="46"/>
      <c r="DJ93" s="46"/>
      <c r="DK93" s="46"/>
      <c r="DL93" s="46"/>
      <c r="DM93" s="46"/>
      <c r="DN93" s="46"/>
      <c r="DO93" s="46"/>
      <c r="DP93" s="46"/>
      <c r="DQ93" s="46"/>
      <c r="DR93" s="46"/>
      <c r="DS93" s="46"/>
      <c r="DT93" s="46"/>
      <c r="DU93" s="46"/>
      <c r="DV93" s="46"/>
      <c r="DW93" s="46"/>
      <c r="DX93" s="46"/>
      <c r="DY93" s="46"/>
      <c r="DZ93" s="46"/>
      <c r="EA93" s="46"/>
      <c r="EB93" s="46"/>
      <c r="EC93" s="46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46"/>
      <c r="ER93" s="46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46"/>
      <c r="FG93" s="46"/>
      <c r="FH93" s="46"/>
      <c r="FI93" s="46"/>
      <c r="FJ93" s="46"/>
      <c r="FK93" s="46"/>
      <c r="FL93" s="46"/>
      <c r="FM93" s="46"/>
    </row>
    <row r="94" spans="1:169" s="68" customFormat="1" hidden="1" x14ac:dyDescent="0.25">
      <c r="A94" s="24" t="s">
        <v>118</v>
      </c>
      <c r="B94" s="22"/>
      <c r="C94" s="3">
        <f>C95/8.5</f>
        <v>17637.647058823528</v>
      </c>
      <c r="D94" s="45"/>
      <c r="E94" s="45"/>
      <c r="F94" s="45"/>
      <c r="G94" s="576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  <c r="AG94" s="46"/>
      <c r="AH94" s="46"/>
      <c r="AI94" s="46"/>
      <c r="AJ94" s="46"/>
      <c r="AK94" s="46"/>
      <c r="AL94" s="46"/>
      <c r="AM94" s="46"/>
      <c r="AN94" s="46"/>
      <c r="AO94" s="46"/>
      <c r="AP94" s="46"/>
      <c r="AQ94" s="46"/>
      <c r="AR94" s="46"/>
      <c r="AS94" s="46"/>
      <c r="AT94" s="46"/>
      <c r="AU94" s="46"/>
      <c r="AV94" s="46"/>
      <c r="AW94" s="46"/>
      <c r="AX94" s="46"/>
      <c r="AY94" s="46"/>
      <c r="AZ94" s="46"/>
      <c r="BA94" s="46"/>
      <c r="BB94" s="46"/>
      <c r="BC94" s="46"/>
      <c r="BD94" s="46"/>
      <c r="BE94" s="46"/>
      <c r="BF94" s="46"/>
      <c r="BG94" s="46"/>
      <c r="BH94" s="46"/>
      <c r="BI94" s="46"/>
      <c r="BJ94" s="46"/>
      <c r="BK94" s="46"/>
      <c r="BL94" s="46"/>
      <c r="BM94" s="46"/>
      <c r="BN94" s="46"/>
      <c r="BO94" s="46"/>
      <c r="BP94" s="46"/>
      <c r="BQ94" s="46"/>
      <c r="BR94" s="46"/>
      <c r="BS94" s="46"/>
      <c r="BT94" s="46"/>
      <c r="BU94" s="46"/>
      <c r="BV94" s="46"/>
      <c r="BW94" s="46"/>
      <c r="BX94" s="46"/>
      <c r="BY94" s="46"/>
      <c r="BZ94" s="46"/>
      <c r="CA94" s="46"/>
      <c r="CB94" s="46"/>
      <c r="CC94" s="46"/>
      <c r="CD94" s="46"/>
      <c r="CE94" s="46"/>
      <c r="CF94" s="46"/>
      <c r="CG94" s="46"/>
      <c r="CH94" s="46"/>
      <c r="CI94" s="46"/>
      <c r="CJ94" s="46"/>
      <c r="CK94" s="46"/>
      <c r="CL94" s="46"/>
      <c r="CM94" s="46"/>
      <c r="CN94" s="46"/>
      <c r="CO94" s="46"/>
      <c r="CP94" s="46"/>
      <c r="CQ94" s="46"/>
      <c r="CR94" s="46"/>
      <c r="CS94" s="46"/>
      <c r="CT94" s="46"/>
      <c r="CU94" s="46"/>
      <c r="CV94" s="46"/>
      <c r="CW94" s="46"/>
      <c r="CX94" s="46"/>
      <c r="CY94" s="46"/>
      <c r="CZ94" s="46"/>
      <c r="DA94" s="46"/>
      <c r="DB94" s="46"/>
      <c r="DC94" s="46"/>
      <c r="DD94" s="46"/>
      <c r="DE94" s="46"/>
      <c r="DF94" s="46"/>
      <c r="DG94" s="46"/>
      <c r="DH94" s="46"/>
      <c r="DI94" s="46"/>
      <c r="DJ94" s="46"/>
      <c r="DK94" s="46"/>
      <c r="DL94" s="46"/>
      <c r="DM94" s="46"/>
      <c r="DN94" s="46"/>
      <c r="DO94" s="46"/>
      <c r="DP94" s="46"/>
      <c r="DQ94" s="46"/>
      <c r="DR94" s="46"/>
      <c r="DS94" s="46"/>
      <c r="DT94" s="46"/>
      <c r="DU94" s="46"/>
      <c r="DV94" s="46"/>
      <c r="DW94" s="46"/>
      <c r="DX94" s="46"/>
      <c r="DY94" s="46"/>
      <c r="DZ94" s="46"/>
      <c r="EA94" s="46"/>
      <c r="EB94" s="46"/>
      <c r="EC94" s="46"/>
      <c r="ED94" s="46"/>
      <c r="EE94" s="46"/>
      <c r="EF94" s="46"/>
      <c r="EG94" s="46"/>
      <c r="EH94" s="46"/>
      <c r="EI94" s="46"/>
      <c r="EJ94" s="46"/>
      <c r="EK94" s="46"/>
      <c r="EL94" s="46"/>
      <c r="EM94" s="46"/>
      <c r="EN94" s="46"/>
      <c r="EO94" s="46"/>
      <c r="EP94" s="46"/>
      <c r="EQ94" s="46"/>
      <c r="ER94" s="46"/>
      <c r="ES94" s="46"/>
      <c r="ET94" s="46"/>
      <c r="EU94" s="46"/>
      <c r="EV94" s="46"/>
      <c r="EW94" s="46"/>
      <c r="EX94" s="46"/>
      <c r="EY94" s="46"/>
      <c r="EZ94" s="46"/>
      <c r="FA94" s="46"/>
      <c r="FB94" s="46"/>
      <c r="FC94" s="46"/>
      <c r="FD94" s="46"/>
      <c r="FE94" s="46"/>
      <c r="FF94" s="46"/>
      <c r="FG94" s="46"/>
      <c r="FH94" s="46"/>
      <c r="FI94" s="46"/>
      <c r="FJ94" s="46"/>
      <c r="FK94" s="46"/>
      <c r="FL94" s="46"/>
      <c r="FM94" s="46"/>
    </row>
    <row r="95" spans="1:169" s="68" customFormat="1" hidden="1" x14ac:dyDescent="0.25">
      <c r="A95" s="44" t="s">
        <v>150</v>
      </c>
      <c r="B95" s="22"/>
      <c r="C95" s="3">
        <v>149920</v>
      </c>
      <c r="D95" s="45"/>
      <c r="E95" s="45"/>
      <c r="F95" s="45"/>
      <c r="G95" s="620"/>
      <c r="H95" s="95"/>
      <c r="I95" s="117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  <c r="AG95" s="46"/>
      <c r="AH95" s="46"/>
      <c r="AI95" s="46"/>
      <c r="AJ95" s="46"/>
      <c r="AK95" s="46"/>
      <c r="AL95" s="46"/>
      <c r="AM95" s="46"/>
      <c r="AN95" s="46"/>
      <c r="AO95" s="46"/>
      <c r="AP95" s="46"/>
      <c r="AQ95" s="46"/>
      <c r="AR95" s="46"/>
      <c r="AS95" s="46"/>
      <c r="AT95" s="46"/>
      <c r="AU95" s="46"/>
      <c r="AV95" s="46"/>
      <c r="AW95" s="46"/>
      <c r="AX95" s="46"/>
      <c r="AY95" s="46"/>
      <c r="AZ95" s="46"/>
      <c r="BA95" s="46"/>
      <c r="BB95" s="46"/>
      <c r="BC95" s="46"/>
      <c r="BD95" s="46"/>
      <c r="BE95" s="46"/>
      <c r="BF95" s="46"/>
      <c r="BG95" s="46"/>
      <c r="BH95" s="46"/>
      <c r="BI95" s="46"/>
      <c r="BJ95" s="46"/>
      <c r="BK95" s="46"/>
      <c r="BL95" s="46"/>
      <c r="BM95" s="46"/>
      <c r="BN95" s="46"/>
      <c r="BO95" s="46"/>
      <c r="BP95" s="46"/>
      <c r="BQ95" s="46"/>
      <c r="BR95" s="46"/>
      <c r="BS95" s="46"/>
      <c r="BT95" s="46"/>
      <c r="BU95" s="46"/>
      <c r="BV95" s="46"/>
      <c r="BW95" s="46"/>
      <c r="BX95" s="46"/>
      <c r="BY95" s="46"/>
      <c r="BZ95" s="46"/>
      <c r="CA95" s="46"/>
      <c r="CB95" s="46"/>
      <c r="CC95" s="46"/>
      <c r="CD95" s="46"/>
      <c r="CE95" s="46"/>
      <c r="CF95" s="46"/>
      <c r="CG95" s="46"/>
      <c r="CH95" s="46"/>
      <c r="CI95" s="46"/>
      <c r="CJ95" s="46"/>
      <c r="CK95" s="46"/>
      <c r="CL95" s="46"/>
      <c r="CM95" s="46"/>
      <c r="CN95" s="46"/>
      <c r="CO95" s="46"/>
      <c r="CP95" s="46"/>
      <c r="CQ95" s="46"/>
      <c r="CR95" s="46"/>
      <c r="CS95" s="46"/>
      <c r="CT95" s="46"/>
      <c r="CU95" s="46"/>
      <c r="CV95" s="46"/>
      <c r="CW95" s="46"/>
      <c r="CX95" s="46"/>
      <c r="CY95" s="46"/>
      <c r="CZ95" s="46"/>
      <c r="DA95" s="46"/>
      <c r="DB95" s="46"/>
      <c r="DC95" s="46"/>
      <c r="DD95" s="46"/>
      <c r="DE95" s="46"/>
      <c r="DF95" s="46"/>
      <c r="DG95" s="46"/>
      <c r="DH95" s="46"/>
      <c r="DI95" s="46"/>
      <c r="DJ95" s="46"/>
      <c r="DK95" s="46"/>
      <c r="DL95" s="46"/>
      <c r="DM95" s="46"/>
      <c r="DN95" s="46"/>
      <c r="DO95" s="46"/>
      <c r="DP95" s="46"/>
      <c r="DQ95" s="46"/>
      <c r="DR95" s="46"/>
      <c r="DS95" s="46"/>
      <c r="DT95" s="46"/>
      <c r="DU95" s="46"/>
      <c r="DV95" s="46"/>
      <c r="DW95" s="46"/>
      <c r="DX95" s="46"/>
      <c r="DY95" s="46"/>
      <c r="DZ95" s="46"/>
      <c r="EA95" s="46"/>
      <c r="EB95" s="46"/>
      <c r="EC95" s="46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46"/>
      <c r="ER95" s="46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46"/>
      <c r="FG95" s="46"/>
      <c r="FH95" s="46"/>
      <c r="FI95" s="46"/>
      <c r="FJ95" s="46"/>
      <c r="FK95" s="46"/>
      <c r="FL95" s="46"/>
      <c r="FM95" s="46"/>
    </row>
    <row r="96" spans="1:169" s="68" customFormat="1" ht="30" hidden="1" x14ac:dyDescent="0.25">
      <c r="A96" s="24" t="s">
        <v>119</v>
      </c>
      <c r="B96" s="22"/>
      <c r="C96" s="3"/>
      <c r="D96" s="45"/>
      <c r="E96" s="45"/>
      <c r="F96" s="45"/>
      <c r="G96" s="46"/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  <c r="AG96" s="46"/>
      <c r="AH96" s="46"/>
      <c r="AI96" s="46"/>
      <c r="AJ96" s="46"/>
      <c r="AK96" s="46"/>
      <c r="AL96" s="46"/>
      <c r="AM96" s="46"/>
      <c r="AN96" s="46"/>
      <c r="AO96" s="46"/>
      <c r="AP96" s="46"/>
      <c r="AQ96" s="46"/>
      <c r="AR96" s="46"/>
      <c r="AS96" s="46"/>
      <c r="AT96" s="46"/>
      <c r="AU96" s="46"/>
      <c r="AV96" s="46"/>
      <c r="AW96" s="46"/>
      <c r="AX96" s="46"/>
      <c r="AY96" s="46"/>
      <c r="AZ96" s="46"/>
      <c r="BA96" s="46"/>
      <c r="BB96" s="46"/>
      <c r="BC96" s="46"/>
      <c r="BD96" s="46"/>
      <c r="BE96" s="46"/>
      <c r="BF96" s="46"/>
      <c r="BG96" s="46"/>
      <c r="BH96" s="46"/>
      <c r="BI96" s="46"/>
      <c r="BJ96" s="46"/>
      <c r="BK96" s="46"/>
      <c r="BL96" s="46"/>
      <c r="BM96" s="46"/>
      <c r="BN96" s="46"/>
      <c r="BO96" s="46"/>
      <c r="BP96" s="46"/>
      <c r="BQ96" s="46"/>
      <c r="BR96" s="46"/>
      <c r="BS96" s="46"/>
      <c r="BT96" s="46"/>
      <c r="BU96" s="46"/>
      <c r="BV96" s="46"/>
      <c r="BW96" s="46"/>
      <c r="BX96" s="46"/>
      <c r="BY96" s="46"/>
      <c r="BZ96" s="46"/>
      <c r="CA96" s="46"/>
      <c r="CB96" s="46"/>
      <c r="CC96" s="46"/>
      <c r="CD96" s="46"/>
      <c r="CE96" s="46"/>
      <c r="CF96" s="46"/>
      <c r="CG96" s="46"/>
      <c r="CH96" s="46"/>
      <c r="CI96" s="46"/>
      <c r="CJ96" s="46"/>
      <c r="CK96" s="46"/>
      <c r="CL96" s="46"/>
      <c r="CM96" s="46"/>
      <c r="CN96" s="46"/>
      <c r="CO96" s="46"/>
      <c r="CP96" s="46"/>
      <c r="CQ96" s="46"/>
      <c r="CR96" s="46"/>
      <c r="CS96" s="46"/>
      <c r="CT96" s="46"/>
      <c r="CU96" s="46"/>
      <c r="CV96" s="46"/>
      <c r="CW96" s="46"/>
      <c r="CX96" s="46"/>
      <c r="CY96" s="46"/>
      <c r="CZ96" s="46"/>
      <c r="DA96" s="46"/>
      <c r="DB96" s="46"/>
      <c r="DC96" s="46"/>
      <c r="DD96" s="46"/>
      <c r="DE96" s="46"/>
      <c r="DF96" s="46"/>
      <c r="DG96" s="46"/>
      <c r="DH96" s="46"/>
      <c r="DI96" s="46"/>
      <c r="DJ96" s="46"/>
      <c r="DK96" s="46"/>
      <c r="DL96" s="46"/>
      <c r="DM96" s="46"/>
      <c r="DN96" s="46"/>
      <c r="DO96" s="46"/>
      <c r="DP96" s="46"/>
      <c r="DQ96" s="46"/>
      <c r="DR96" s="46"/>
      <c r="DS96" s="46"/>
      <c r="DT96" s="46"/>
      <c r="DU96" s="46"/>
      <c r="DV96" s="46"/>
      <c r="DW96" s="46"/>
      <c r="DX96" s="46"/>
      <c r="DY96" s="46"/>
      <c r="DZ96" s="46"/>
      <c r="EA96" s="46"/>
      <c r="EB96" s="46"/>
      <c r="EC96" s="46"/>
      <c r="ED96" s="46"/>
      <c r="EE96" s="46"/>
      <c r="EF96" s="46"/>
      <c r="EG96" s="46"/>
      <c r="EH96" s="46"/>
      <c r="EI96" s="46"/>
      <c r="EJ96" s="46"/>
      <c r="EK96" s="46"/>
      <c r="EL96" s="46"/>
      <c r="EM96" s="46"/>
      <c r="EN96" s="46"/>
      <c r="EO96" s="46"/>
      <c r="EP96" s="46"/>
      <c r="EQ96" s="46"/>
      <c r="ER96" s="46"/>
      <c r="ES96" s="46"/>
      <c r="ET96" s="46"/>
      <c r="EU96" s="46"/>
      <c r="EV96" s="46"/>
      <c r="EW96" s="46"/>
      <c r="EX96" s="46"/>
      <c r="EY96" s="46"/>
      <c r="EZ96" s="46"/>
      <c r="FA96" s="46"/>
      <c r="FB96" s="46"/>
      <c r="FC96" s="46"/>
      <c r="FD96" s="46"/>
      <c r="FE96" s="46"/>
      <c r="FF96" s="46"/>
      <c r="FG96" s="46"/>
      <c r="FH96" s="46"/>
      <c r="FI96" s="46"/>
      <c r="FJ96" s="46"/>
      <c r="FK96" s="46"/>
      <c r="FL96" s="46"/>
      <c r="FM96" s="46"/>
    </row>
    <row r="97" spans="1:169" s="68" customFormat="1" hidden="1" x14ac:dyDescent="0.25">
      <c r="A97" s="365" t="s">
        <v>151</v>
      </c>
      <c r="B97" s="22"/>
      <c r="C97" s="18">
        <f>C92+ROUND(C95/3.9,0)+C96</f>
        <v>42885.444444444445</v>
      </c>
      <c r="D97" s="45"/>
      <c r="E97" s="45"/>
      <c r="F97" s="45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  <c r="AS97" s="46"/>
      <c r="AT97" s="46"/>
      <c r="AU97" s="46"/>
      <c r="AV97" s="46"/>
      <c r="AW97" s="46"/>
      <c r="AX97" s="46"/>
      <c r="AY97" s="46"/>
      <c r="AZ97" s="46"/>
      <c r="BA97" s="46"/>
      <c r="BB97" s="46"/>
      <c r="BC97" s="46"/>
      <c r="BD97" s="46"/>
      <c r="BE97" s="46"/>
      <c r="BF97" s="46"/>
      <c r="BG97" s="46"/>
      <c r="BH97" s="46"/>
      <c r="BI97" s="46"/>
      <c r="BJ97" s="46"/>
      <c r="BK97" s="46"/>
      <c r="BL97" s="46"/>
      <c r="BM97" s="46"/>
      <c r="BN97" s="46"/>
      <c r="BO97" s="46"/>
      <c r="BP97" s="46"/>
      <c r="BQ97" s="46"/>
      <c r="BR97" s="46"/>
      <c r="BS97" s="46"/>
      <c r="BT97" s="46"/>
      <c r="BU97" s="46"/>
      <c r="BV97" s="46"/>
      <c r="BW97" s="46"/>
      <c r="BX97" s="46"/>
      <c r="BY97" s="46"/>
      <c r="BZ97" s="46"/>
      <c r="CA97" s="46"/>
      <c r="CB97" s="46"/>
      <c r="CC97" s="46"/>
      <c r="CD97" s="46"/>
      <c r="CE97" s="46"/>
      <c r="CF97" s="46"/>
      <c r="CG97" s="46"/>
      <c r="CH97" s="46"/>
      <c r="CI97" s="46"/>
      <c r="CJ97" s="46"/>
      <c r="CK97" s="46"/>
      <c r="CL97" s="46"/>
      <c r="CM97" s="46"/>
      <c r="CN97" s="46"/>
      <c r="CO97" s="46"/>
      <c r="CP97" s="46"/>
      <c r="CQ97" s="46"/>
      <c r="CR97" s="46"/>
      <c r="CS97" s="46"/>
      <c r="CT97" s="46"/>
      <c r="CU97" s="46"/>
      <c r="CV97" s="46"/>
      <c r="CW97" s="46"/>
      <c r="CX97" s="46"/>
      <c r="CY97" s="46"/>
      <c r="CZ97" s="46"/>
      <c r="DA97" s="46"/>
      <c r="DB97" s="46"/>
      <c r="DC97" s="46"/>
      <c r="DD97" s="46"/>
      <c r="DE97" s="46"/>
      <c r="DF97" s="46"/>
      <c r="DG97" s="46"/>
      <c r="DH97" s="46"/>
      <c r="DI97" s="46"/>
      <c r="DJ97" s="46"/>
      <c r="DK97" s="46"/>
      <c r="DL97" s="46"/>
      <c r="DM97" s="46"/>
      <c r="DN97" s="46"/>
      <c r="DO97" s="46"/>
      <c r="DP97" s="46"/>
      <c r="DQ97" s="46"/>
      <c r="DR97" s="46"/>
      <c r="DS97" s="46"/>
      <c r="DT97" s="46"/>
      <c r="DU97" s="46"/>
      <c r="DV97" s="46"/>
      <c r="DW97" s="46"/>
      <c r="DX97" s="46"/>
      <c r="DY97" s="46"/>
      <c r="DZ97" s="46"/>
      <c r="EA97" s="46"/>
      <c r="EB97" s="46"/>
      <c r="EC97" s="46"/>
      <c r="ED97" s="46"/>
      <c r="EE97" s="46"/>
      <c r="EF97" s="46"/>
      <c r="EG97" s="46"/>
      <c r="EH97" s="46"/>
      <c r="EI97" s="46"/>
      <c r="EJ97" s="46"/>
      <c r="EK97" s="46"/>
      <c r="EL97" s="46"/>
      <c r="EM97" s="46"/>
      <c r="EN97" s="46"/>
      <c r="EO97" s="46"/>
      <c r="EP97" s="46"/>
      <c r="EQ97" s="46"/>
      <c r="ER97" s="46"/>
      <c r="ES97" s="46"/>
      <c r="ET97" s="46"/>
      <c r="EU97" s="46"/>
      <c r="EV97" s="46"/>
      <c r="EW97" s="46"/>
      <c r="EX97" s="46"/>
      <c r="EY97" s="46"/>
      <c r="EZ97" s="46"/>
      <c r="FA97" s="46"/>
      <c r="FB97" s="46"/>
      <c r="FC97" s="46"/>
      <c r="FD97" s="46"/>
      <c r="FE97" s="46"/>
      <c r="FF97" s="46"/>
      <c r="FG97" s="46"/>
      <c r="FH97" s="46"/>
      <c r="FI97" s="46"/>
      <c r="FJ97" s="46"/>
      <c r="FK97" s="46"/>
      <c r="FL97" s="46"/>
      <c r="FM97" s="46"/>
    </row>
    <row r="98" spans="1:169" s="621" customFormat="1" hidden="1" thickBot="1" x14ac:dyDescent="0.25">
      <c r="A98" s="88" t="s">
        <v>10</v>
      </c>
      <c r="B98" s="198"/>
      <c r="C98" s="198"/>
      <c r="D98" s="198"/>
      <c r="E98" s="198"/>
      <c r="F98" s="198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6"/>
      <c r="BK98" s="46"/>
      <c r="BL98" s="46"/>
      <c r="BM98" s="46"/>
      <c r="BN98" s="46"/>
      <c r="BO98" s="46"/>
      <c r="BP98" s="46"/>
      <c r="BQ98" s="46"/>
      <c r="BR98" s="46"/>
      <c r="BS98" s="46"/>
      <c r="BT98" s="46"/>
      <c r="BU98" s="46"/>
      <c r="BV98" s="46"/>
      <c r="BW98" s="46"/>
      <c r="BX98" s="46"/>
      <c r="BY98" s="46"/>
      <c r="BZ98" s="46"/>
      <c r="CA98" s="46"/>
      <c r="CB98" s="46"/>
      <c r="CC98" s="46"/>
      <c r="CD98" s="46"/>
      <c r="CE98" s="46"/>
      <c r="CF98" s="46"/>
      <c r="CG98" s="46"/>
      <c r="CH98" s="46"/>
      <c r="CI98" s="46"/>
      <c r="CJ98" s="46"/>
      <c r="CK98" s="46"/>
      <c r="CL98" s="46"/>
      <c r="CM98" s="46"/>
      <c r="CN98" s="46"/>
      <c r="CO98" s="46"/>
      <c r="CP98" s="46"/>
      <c r="CQ98" s="46"/>
      <c r="CR98" s="46"/>
      <c r="CS98" s="46"/>
      <c r="CT98" s="46"/>
      <c r="CU98" s="46"/>
      <c r="CV98" s="46"/>
      <c r="CW98" s="46"/>
      <c r="CX98" s="46"/>
      <c r="CY98" s="46"/>
      <c r="CZ98" s="46"/>
      <c r="DA98" s="46"/>
      <c r="DB98" s="46"/>
      <c r="DC98" s="46"/>
      <c r="DD98" s="46"/>
      <c r="DE98" s="46"/>
      <c r="DF98" s="46"/>
      <c r="DG98" s="46"/>
      <c r="DH98" s="46"/>
      <c r="DI98" s="46"/>
      <c r="DJ98" s="46"/>
      <c r="DK98" s="46"/>
      <c r="DL98" s="46"/>
      <c r="DM98" s="46"/>
      <c r="DN98" s="46"/>
      <c r="DO98" s="46"/>
      <c r="DP98" s="46"/>
      <c r="DQ98" s="46"/>
      <c r="DR98" s="46"/>
      <c r="DS98" s="46"/>
      <c r="DT98" s="46"/>
      <c r="DU98" s="46"/>
      <c r="DV98" s="46"/>
      <c r="DW98" s="46"/>
      <c r="DX98" s="46"/>
      <c r="DY98" s="46"/>
      <c r="DZ98" s="46"/>
      <c r="EA98" s="46"/>
      <c r="EB98" s="46"/>
      <c r="EC98" s="46"/>
      <c r="ED98" s="46"/>
      <c r="EE98" s="46"/>
      <c r="EF98" s="46"/>
      <c r="EG98" s="46"/>
      <c r="EH98" s="46"/>
      <c r="EI98" s="46"/>
      <c r="EJ98" s="46"/>
      <c r="EK98" s="46"/>
      <c r="EL98" s="46"/>
      <c r="EM98" s="46"/>
      <c r="EN98" s="46"/>
      <c r="EO98" s="46"/>
      <c r="EP98" s="46"/>
      <c r="EQ98" s="46"/>
      <c r="ER98" s="46"/>
      <c r="ES98" s="46"/>
      <c r="ET98" s="46"/>
      <c r="EU98" s="46"/>
      <c r="EV98" s="46"/>
      <c r="EW98" s="46"/>
      <c r="EX98" s="46"/>
      <c r="EY98" s="46"/>
      <c r="EZ98" s="46"/>
      <c r="FA98" s="46"/>
      <c r="FB98" s="46"/>
      <c r="FC98" s="46"/>
      <c r="FD98" s="46"/>
      <c r="FE98" s="46"/>
      <c r="FF98" s="46"/>
      <c r="FG98" s="46"/>
      <c r="FH98" s="46"/>
      <c r="FI98" s="46"/>
      <c r="FJ98" s="46"/>
      <c r="FK98" s="46"/>
      <c r="FL98" s="46"/>
      <c r="FM98" s="46"/>
    </row>
  </sheetData>
  <autoFilter ref="A7:FM88"/>
  <mergeCells count="7">
    <mergeCell ref="G8:H8"/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1"/>
  <sheetViews>
    <sheetView zoomScale="85" zoomScaleNormal="85" zoomScaleSheetLayoutView="90" workbookViewId="0">
      <pane xSplit="1" ySplit="7" topLeftCell="B8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46.140625" style="95" customWidth="1"/>
    <col min="2" max="2" width="10.85546875" style="95" customWidth="1"/>
    <col min="3" max="3" width="15.5703125" style="95" customWidth="1"/>
    <col min="4" max="4" width="10.85546875" style="95" customWidth="1"/>
    <col min="5" max="5" width="10.28515625" style="95" customWidth="1"/>
    <col min="6" max="6" width="11.42578125" style="95" customWidth="1"/>
    <col min="7" max="16384" width="11.42578125" style="95"/>
  </cols>
  <sheetData>
    <row r="1" spans="1:7" s="66" customFormat="1" ht="10.5" customHeight="1" x14ac:dyDescent="0.25">
      <c r="D1" s="7"/>
      <c r="E1" s="626"/>
    </row>
    <row r="2" spans="1:7" s="66" customFormat="1" ht="17.25" customHeight="1" x14ac:dyDescent="0.25">
      <c r="A2" s="696" t="s">
        <v>293</v>
      </c>
      <c r="B2" s="696"/>
      <c r="C2" s="696"/>
      <c r="D2" s="696"/>
      <c r="E2" s="696"/>
      <c r="F2" s="696"/>
    </row>
    <row r="3" spans="1:7" ht="16.5" customHeight="1" thickBot="1" x14ac:dyDescent="0.3">
      <c r="A3" s="705"/>
      <c r="B3" s="705"/>
      <c r="C3" s="705"/>
      <c r="D3" s="705"/>
      <c r="E3" s="705"/>
      <c r="F3" s="705"/>
    </row>
    <row r="4" spans="1:7" ht="29.25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7" ht="15" customHeight="1" x14ac:dyDescent="0.3">
      <c r="A5" s="9"/>
      <c r="B5" s="688"/>
      <c r="C5" s="710"/>
      <c r="D5" s="694"/>
      <c r="E5" s="688"/>
      <c r="F5" s="691"/>
    </row>
    <row r="6" spans="1:7" ht="49.5" customHeight="1" thickBot="1" x14ac:dyDescent="0.3">
      <c r="A6" s="10" t="s">
        <v>3</v>
      </c>
      <c r="B6" s="689"/>
      <c r="C6" s="711"/>
      <c r="D6" s="695"/>
      <c r="E6" s="689"/>
      <c r="F6" s="692"/>
    </row>
    <row r="7" spans="1:7" ht="15.75" thickBot="1" x14ac:dyDescent="0.3">
      <c r="A7" s="11">
        <v>1</v>
      </c>
      <c r="B7" s="12">
        <v>2</v>
      </c>
      <c r="C7" s="12">
        <v>3</v>
      </c>
      <c r="D7" s="12">
        <v>6</v>
      </c>
      <c r="E7" s="11">
        <v>7</v>
      </c>
      <c r="F7" s="12"/>
    </row>
    <row r="8" spans="1:7" ht="22.5" customHeight="1" x14ac:dyDescent="0.25">
      <c r="A8" s="627" t="s">
        <v>178</v>
      </c>
      <c r="B8" s="627"/>
      <c r="C8" s="627"/>
      <c r="D8" s="89"/>
      <c r="E8" s="89"/>
      <c r="F8" s="628"/>
    </row>
    <row r="9" spans="1:7" x14ac:dyDescent="0.25">
      <c r="A9" s="69" t="s">
        <v>4</v>
      </c>
      <c r="B9" s="69"/>
      <c r="C9" s="69"/>
      <c r="D9" s="118"/>
      <c r="E9" s="118"/>
      <c r="F9" s="99"/>
    </row>
    <row r="10" spans="1:7" x14ac:dyDescent="0.25">
      <c r="A10" s="59" t="s">
        <v>21</v>
      </c>
      <c r="B10" s="99">
        <v>340</v>
      </c>
      <c r="C10" s="99">
        <v>330</v>
      </c>
      <c r="D10" s="111">
        <v>10</v>
      </c>
      <c r="E10" s="99">
        <f>ROUND(F10/B10,0)</f>
        <v>10</v>
      </c>
      <c r="F10" s="3">
        <f>ROUND(C10*D10,0)</f>
        <v>3300</v>
      </c>
      <c r="G10" s="119"/>
    </row>
    <row r="11" spans="1:7" x14ac:dyDescent="0.25">
      <c r="A11" s="59" t="s">
        <v>11</v>
      </c>
      <c r="B11" s="99">
        <v>340</v>
      </c>
      <c r="C11" s="99">
        <v>130</v>
      </c>
      <c r="D11" s="111">
        <v>10</v>
      </c>
      <c r="E11" s="99">
        <f>ROUND(F11/B11,0)</f>
        <v>4</v>
      </c>
      <c r="F11" s="3">
        <f>ROUND(C11*D11,0)</f>
        <v>1300</v>
      </c>
    </row>
    <row r="12" spans="1:7" x14ac:dyDescent="0.25">
      <c r="A12" s="59" t="s">
        <v>26</v>
      </c>
      <c r="B12" s="99">
        <v>320</v>
      </c>
      <c r="C12" s="99">
        <v>200</v>
      </c>
      <c r="D12" s="111">
        <v>9.5</v>
      </c>
      <c r="E12" s="99">
        <f>ROUND(F12/B12,0)</f>
        <v>6</v>
      </c>
      <c r="F12" s="3">
        <f>ROUND(C12*D12,0)</f>
        <v>1900</v>
      </c>
    </row>
    <row r="13" spans="1:7" x14ac:dyDescent="0.25">
      <c r="A13" s="59" t="s">
        <v>28</v>
      </c>
      <c r="B13" s="99">
        <v>300</v>
      </c>
      <c r="C13" s="99">
        <v>30</v>
      </c>
      <c r="D13" s="111">
        <v>8</v>
      </c>
      <c r="E13" s="99">
        <f>ROUND(F13/B13,0)</f>
        <v>1</v>
      </c>
      <c r="F13" s="3">
        <f>ROUND(C13*D13,0)</f>
        <v>240</v>
      </c>
    </row>
    <row r="14" spans="1:7" x14ac:dyDescent="0.25">
      <c r="A14" s="59" t="s">
        <v>23</v>
      </c>
      <c r="B14" s="99">
        <v>340</v>
      </c>
      <c r="C14" s="99">
        <v>60</v>
      </c>
      <c r="D14" s="111">
        <v>7.5</v>
      </c>
      <c r="E14" s="99">
        <f>ROUND(F14/B14,0)</f>
        <v>1</v>
      </c>
      <c r="F14" s="3">
        <f>ROUND(C14*D14,0)</f>
        <v>450</v>
      </c>
    </row>
    <row r="15" spans="1:7" s="46" customFormat="1" ht="14.25" x14ac:dyDescent="0.2">
      <c r="A15" s="54" t="s">
        <v>5</v>
      </c>
      <c r="B15" s="54"/>
      <c r="C15" s="74">
        <f t="shared" ref="C15" si="0">SUM(C10:C14)</f>
        <v>750</v>
      </c>
      <c r="D15" s="303">
        <f>F15/C15</f>
        <v>9.586666666666666</v>
      </c>
      <c r="E15" s="74">
        <f>SUM(E10:E14)</f>
        <v>22</v>
      </c>
      <c r="F15" s="74">
        <f>SUM(F10:F14)</f>
        <v>7190</v>
      </c>
      <c r="G15" s="110"/>
    </row>
    <row r="16" spans="1:7" s="20" customFormat="1" hidden="1" x14ac:dyDescent="0.25">
      <c r="A16" s="4" t="s">
        <v>199</v>
      </c>
      <c r="B16" s="5">
        <v>350</v>
      </c>
      <c r="C16" s="13"/>
      <c r="D16" s="14"/>
      <c r="E16" s="3"/>
      <c r="F16" s="13"/>
    </row>
    <row r="17" spans="1:8" s="20" customFormat="1" ht="14.25" hidden="1" x14ac:dyDescent="0.2">
      <c r="A17" s="15" t="s">
        <v>200</v>
      </c>
      <c r="B17" s="16"/>
      <c r="C17" s="19">
        <f t="shared" ref="C17" si="1">C15+C16</f>
        <v>750</v>
      </c>
      <c r="D17" s="17" t="e">
        <f>#REF!/#REF!</f>
        <v>#REF!</v>
      </c>
      <c r="E17" s="19">
        <f t="shared" ref="E17:F17" si="2">E15+E16</f>
        <v>22</v>
      </c>
      <c r="F17" s="19">
        <f t="shared" si="2"/>
        <v>7190</v>
      </c>
    </row>
    <row r="18" spans="1:8" s="46" customFormat="1" ht="14.25" customHeight="1" x14ac:dyDescent="0.25">
      <c r="A18" s="21" t="s">
        <v>205</v>
      </c>
      <c r="B18" s="21"/>
      <c r="C18" s="74"/>
      <c r="D18" s="74"/>
      <c r="E18" s="74"/>
      <c r="F18" s="56"/>
    </row>
    <row r="19" spans="1:8" s="46" customFormat="1" ht="31.5" customHeight="1" x14ac:dyDescent="0.25">
      <c r="A19" s="23" t="s">
        <v>321</v>
      </c>
      <c r="B19" s="47"/>
      <c r="C19" s="45">
        <f>SUM(C21,C22,C23,C24)+C20/2.7</f>
        <v>4400.3703703703704</v>
      </c>
      <c r="D19" s="51"/>
      <c r="E19" s="51"/>
      <c r="F19" s="56"/>
    </row>
    <row r="20" spans="1:8" s="46" customFormat="1" ht="15.75" customHeight="1" x14ac:dyDescent="0.25">
      <c r="A20" s="23" t="s">
        <v>286</v>
      </c>
      <c r="B20" s="28"/>
      <c r="C20" s="3">
        <v>1000</v>
      </c>
      <c r="D20" s="28"/>
      <c r="E20" s="28"/>
      <c r="F20" s="28"/>
    </row>
    <row r="21" spans="1:8" s="46" customFormat="1" ht="15.75" customHeight="1" x14ac:dyDescent="0.25">
      <c r="A21" s="48" t="s">
        <v>206</v>
      </c>
      <c r="B21" s="47"/>
      <c r="C21" s="45"/>
      <c r="D21" s="51"/>
      <c r="E21" s="51"/>
      <c r="F21" s="56"/>
    </row>
    <row r="22" spans="1:8" s="46" customFormat="1" ht="15.75" customHeight="1" x14ac:dyDescent="0.25">
      <c r="A22" s="48" t="s">
        <v>207</v>
      </c>
      <c r="B22" s="47"/>
      <c r="C22" s="45"/>
      <c r="D22" s="51"/>
      <c r="E22" s="51"/>
      <c r="F22" s="56"/>
    </row>
    <row r="23" spans="1:8" s="46" customFormat="1" ht="15.75" customHeight="1" x14ac:dyDescent="0.25">
      <c r="A23" s="48" t="s">
        <v>208</v>
      </c>
      <c r="B23" s="47"/>
      <c r="C23" s="45">
        <v>30</v>
      </c>
      <c r="D23" s="51"/>
      <c r="E23" s="51"/>
      <c r="F23" s="56"/>
    </row>
    <row r="24" spans="1:8" s="46" customFormat="1" ht="15.75" customHeight="1" x14ac:dyDescent="0.25">
      <c r="A24" s="23" t="s">
        <v>209</v>
      </c>
      <c r="B24" s="47"/>
      <c r="C24" s="45">
        <v>4000</v>
      </c>
      <c r="D24" s="51"/>
      <c r="E24" s="51"/>
      <c r="F24" s="56"/>
    </row>
    <row r="25" spans="1:8" s="46" customFormat="1" ht="49.5" customHeight="1" x14ac:dyDescent="0.25">
      <c r="A25" s="23" t="s">
        <v>285</v>
      </c>
      <c r="B25" s="47"/>
      <c r="C25" s="13">
        <v>5</v>
      </c>
      <c r="D25" s="45"/>
      <c r="E25" s="45"/>
      <c r="F25" s="45"/>
      <c r="G25" s="75"/>
    </row>
    <row r="26" spans="1:8" s="46" customFormat="1" ht="15.75" customHeight="1" x14ac:dyDescent="0.25">
      <c r="A26" s="24" t="s">
        <v>118</v>
      </c>
      <c r="B26" s="47"/>
      <c r="C26" s="45">
        <f t="shared" ref="C26" si="3">C27+C28</f>
        <v>4500</v>
      </c>
      <c r="D26" s="51"/>
      <c r="E26" s="51"/>
      <c r="F26" s="56"/>
    </row>
    <row r="27" spans="1:8" s="46" customFormat="1" ht="15.75" customHeight="1" x14ac:dyDescent="0.25">
      <c r="A27" s="24" t="s">
        <v>259</v>
      </c>
      <c r="B27" s="47"/>
      <c r="C27" s="45">
        <v>3500</v>
      </c>
      <c r="D27" s="51"/>
      <c r="E27" s="51"/>
      <c r="F27" s="56"/>
      <c r="G27" s="109"/>
      <c r="H27" s="109"/>
    </row>
    <row r="28" spans="1:8" s="46" customFormat="1" ht="15.75" customHeight="1" x14ac:dyDescent="0.25">
      <c r="A28" s="24" t="s">
        <v>261</v>
      </c>
      <c r="B28" s="47"/>
      <c r="C28" s="13">
        <f t="shared" ref="C28" si="4">C29/8.5</f>
        <v>1000</v>
      </c>
      <c r="D28" s="51"/>
      <c r="E28" s="51"/>
      <c r="F28" s="56"/>
      <c r="G28" s="64"/>
      <c r="H28" s="64"/>
    </row>
    <row r="29" spans="1:8" s="46" customFormat="1" ht="15.75" customHeight="1" x14ac:dyDescent="0.25">
      <c r="A29" s="44" t="s">
        <v>260</v>
      </c>
      <c r="B29" s="47"/>
      <c r="C29" s="45">
        <v>8500</v>
      </c>
      <c r="D29" s="51"/>
      <c r="E29" s="51"/>
      <c r="F29" s="56"/>
      <c r="G29" s="110"/>
      <c r="H29" s="110"/>
    </row>
    <row r="30" spans="1:8" s="46" customFormat="1" ht="15.75" customHeight="1" x14ac:dyDescent="0.25">
      <c r="A30" s="49" t="s">
        <v>210</v>
      </c>
      <c r="B30" s="50"/>
      <c r="C30" s="18">
        <f t="shared" ref="C30" si="5">C19+ROUND(C27*3.2,0)+C29/3.9</f>
        <v>17779.857549857552</v>
      </c>
      <c r="D30" s="51"/>
      <c r="E30" s="51"/>
      <c r="F30" s="56"/>
    </row>
    <row r="31" spans="1:8" s="46" customFormat="1" ht="15.75" customHeight="1" x14ac:dyDescent="0.25">
      <c r="A31" s="21" t="s">
        <v>153</v>
      </c>
      <c r="B31" s="22"/>
      <c r="C31" s="3"/>
      <c r="D31" s="51"/>
      <c r="E31" s="51"/>
      <c r="F31" s="56"/>
    </row>
    <row r="32" spans="1:8" s="46" customFormat="1" ht="31.5" customHeight="1" x14ac:dyDescent="0.25">
      <c r="A32" s="23" t="s">
        <v>321</v>
      </c>
      <c r="B32" s="22"/>
      <c r="C32" s="3">
        <f>SUM(C33,C34,C41,C47,C48,C49)</f>
        <v>3358</v>
      </c>
      <c r="D32" s="51"/>
      <c r="E32" s="51"/>
      <c r="F32" s="56"/>
    </row>
    <row r="33" spans="1:6" s="46" customFormat="1" ht="15.75" customHeight="1" x14ac:dyDescent="0.25">
      <c r="A33" s="23" t="s">
        <v>206</v>
      </c>
      <c r="B33" s="22"/>
      <c r="C33" s="3"/>
      <c r="D33" s="51"/>
      <c r="E33" s="51"/>
      <c r="F33" s="56"/>
    </row>
    <row r="34" spans="1:6" s="46" customFormat="1" ht="15.75" customHeight="1" x14ac:dyDescent="0.25">
      <c r="A34" s="48" t="s">
        <v>211</v>
      </c>
      <c r="B34" s="22"/>
      <c r="C34" s="3">
        <f t="shared" ref="C34" si="6">C35+C36+C37+C39</f>
        <v>758</v>
      </c>
      <c r="D34" s="51"/>
      <c r="E34" s="51"/>
      <c r="F34" s="56"/>
    </row>
    <row r="35" spans="1:6" s="46" customFormat="1" ht="19.5" customHeight="1" x14ac:dyDescent="0.25">
      <c r="A35" s="52" t="s">
        <v>212</v>
      </c>
      <c r="B35" s="22"/>
      <c r="C35" s="45">
        <f>431-51</f>
        <v>380</v>
      </c>
      <c r="D35" s="51"/>
      <c r="E35" s="51"/>
      <c r="F35" s="56"/>
    </row>
    <row r="36" spans="1:6" s="46" customFormat="1" ht="15.75" customHeight="1" x14ac:dyDescent="0.25">
      <c r="A36" s="52" t="s">
        <v>213</v>
      </c>
      <c r="B36" s="22"/>
      <c r="C36" s="45">
        <v>111</v>
      </c>
      <c r="D36" s="51"/>
      <c r="E36" s="51"/>
      <c r="F36" s="56"/>
    </row>
    <row r="37" spans="1:6" s="46" customFormat="1" ht="30.75" customHeight="1" x14ac:dyDescent="0.25">
      <c r="A37" s="52" t="s">
        <v>214</v>
      </c>
      <c r="B37" s="22"/>
      <c r="C37" s="45">
        <v>45</v>
      </c>
      <c r="D37" s="51"/>
      <c r="E37" s="51"/>
      <c r="F37" s="56"/>
    </row>
    <row r="38" spans="1:6" s="46" customFormat="1" x14ac:dyDescent="0.25">
      <c r="A38" s="52" t="s">
        <v>215</v>
      </c>
      <c r="B38" s="22"/>
      <c r="C38" s="45">
        <v>4</v>
      </c>
      <c r="D38" s="51"/>
      <c r="E38" s="51"/>
      <c r="F38" s="56"/>
    </row>
    <row r="39" spans="1:6" s="46" customFormat="1" ht="30" x14ac:dyDescent="0.25">
      <c r="A39" s="52" t="s">
        <v>216</v>
      </c>
      <c r="B39" s="22"/>
      <c r="C39" s="45">
        <v>222</v>
      </c>
      <c r="D39" s="51"/>
      <c r="E39" s="51"/>
      <c r="F39" s="56"/>
    </row>
    <row r="40" spans="1:6" s="46" customFormat="1" x14ac:dyDescent="0.25">
      <c r="A40" s="52" t="s">
        <v>215</v>
      </c>
      <c r="B40" s="22"/>
      <c r="C40" s="76">
        <v>37</v>
      </c>
      <c r="D40" s="51"/>
      <c r="E40" s="51"/>
      <c r="F40" s="56"/>
    </row>
    <row r="41" spans="1:6" s="46" customFormat="1" ht="30" customHeight="1" x14ac:dyDescent="0.25">
      <c r="A41" s="48" t="s">
        <v>217</v>
      </c>
      <c r="B41" s="22"/>
      <c r="C41" s="3">
        <f t="shared" ref="C41" si="7">SUM(C42,C43,C45)</f>
        <v>2600</v>
      </c>
      <c r="D41" s="51"/>
      <c r="E41" s="51"/>
      <c r="F41" s="56"/>
    </row>
    <row r="42" spans="1:6" s="46" customFormat="1" ht="30" x14ac:dyDescent="0.25">
      <c r="A42" s="52" t="s">
        <v>218</v>
      </c>
      <c r="B42" s="22"/>
      <c r="C42" s="3">
        <f>300+100</f>
        <v>400</v>
      </c>
      <c r="D42" s="51"/>
      <c r="E42" s="51"/>
      <c r="F42" s="56"/>
    </row>
    <row r="43" spans="1:6" s="46" customFormat="1" ht="45" x14ac:dyDescent="0.25">
      <c r="A43" s="52" t="s">
        <v>219</v>
      </c>
      <c r="B43" s="22"/>
      <c r="C43" s="42">
        <v>2000</v>
      </c>
      <c r="D43" s="51"/>
      <c r="E43" s="51"/>
      <c r="F43" s="56"/>
    </row>
    <row r="44" spans="1:6" s="46" customFormat="1" x14ac:dyDescent="0.25">
      <c r="A44" s="52" t="s">
        <v>215</v>
      </c>
      <c r="B44" s="22"/>
      <c r="C44" s="42">
        <v>500</v>
      </c>
      <c r="D44" s="51"/>
      <c r="E44" s="51"/>
      <c r="F44" s="56"/>
    </row>
    <row r="45" spans="1:6" s="46" customFormat="1" ht="45" x14ac:dyDescent="0.25">
      <c r="A45" s="52" t="s">
        <v>220</v>
      </c>
      <c r="B45" s="22"/>
      <c r="C45" s="42">
        <v>200</v>
      </c>
      <c r="D45" s="51"/>
      <c r="E45" s="51"/>
      <c r="F45" s="56"/>
    </row>
    <row r="46" spans="1:6" s="46" customFormat="1" x14ac:dyDescent="0.25">
      <c r="A46" s="52" t="s">
        <v>215</v>
      </c>
      <c r="B46" s="22"/>
      <c r="C46" s="42">
        <v>100</v>
      </c>
      <c r="D46" s="51"/>
      <c r="E46" s="51"/>
      <c r="F46" s="56"/>
    </row>
    <row r="47" spans="1:6" s="46" customFormat="1" ht="31.5" customHeight="1" x14ac:dyDescent="0.25">
      <c r="A47" s="48" t="s">
        <v>221</v>
      </c>
      <c r="B47" s="22"/>
      <c r="C47" s="3"/>
      <c r="D47" s="51"/>
      <c r="E47" s="51"/>
      <c r="F47" s="56"/>
    </row>
    <row r="48" spans="1:6" s="46" customFormat="1" ht="15.75" customHeight="1" x14ac:dyDescent="0.25">
      <c r="A48" s="48" t="s">
        <v>222</v>
      </c>
      <c r="B48" s="22"/>
      <c r="C48" s="3"/>
      <c r="D48" s="51"/>
      <c r="E48" s="51"/>
      <c r="F48" s="56"/>
    </row>
    <row r="49" spans="1:8" s="46" customFormat="1" ht="15.75" customHeight="1" x14ac:dyDescent="0.25">
      <c r="A49" s="23" t="s">
        <v>223</v>
      </c>
      <c r="B49" s="22"/>
      <c r="C49" s="3"/>
      <c r="D49" s="51"/>
      <c r="E49" s="51"/>
      <c r="F49" s="56"/>
    </row>
    <row r="50" spans="1:8" s="46" customFormat="1" x14ac:dyDescent="0.25">
      <c r="A50" s="24" t="s">
        <v>118</v>
      </c>
      <c r="B50" s="47"/>
      <c r="C50" s="45"/>
      <c r="D50" s="51"/>
      <c r="E50" s="51"/>
      <c r="F50" s="56"/>
    </row>
    <row r="51" spans="1:8" s="46" customFormat="1" x14ac:dyDescent="0.25">
      <c r="A51" s="44" t="s">
        <v>150</v>
      </c>
      <c r="B51" s="47"/>
      <c r="C51" s="76"/>
      <c r="D51" s="51"/>
      <c r="E51" s="51"/>
      <c r="F51" s="56"/>
    </row>
    <row r="52" spans="1:8" s="46" customFormat="1" ht="30" x14ac:dyDescent="0.25">
      <c r="A52" s="24" t="s">
        <v>119</v>
      </c>
      <c r="B52" s="22"/>
      <c r="C52" s="3">
        <v>1900</v>
      </c>
      <c r="D52" s="51"/>
      <c r="E52" s="51"/>
      <c r="F52" s="56"/>
    </row>
    <row r="53" spans="1:8" s="46" customFormat="1" ht="15.75" customHeight="1" x14ac:dyDescent="0.25">
      <c r="A53" s="24" t="s">
        <v>224</v>
      </c>
      <c r="B53" s="22"/>
      <c r="C53" s="3"/>
      <c r="D53" s="51"/>
      <c r="E53" s="51"/>
      <c r="F53" s="56"/>
    </row>
    <row r="54" spans="1:8" s="46" customFormat="1" x14ac:dyDescent="0.25">
      <c r="A54" s="53"/>
      <c r="B54" s="22"/>
      <c r="C54" s="3"/>
      <c r="D54" s="51"/>
      <c r="E54" s="51"/>
      <c r="F54" s="56"/>
    </row>
    <row r="55" spans="1:8" s="46" customFormat="1" x14ac:dyDescent="0.25">
      <c r="A55" s="54" t="s">
        <v>152</v>
      </c>
      <c r="B55" s="22"/>
      <c r="C55" s="18">
        <f>C32+ROUND(C50*3.2,0)+C52</f>
        <v>5258</v>
      </c>
      <c r="D55" s="51"/>
      <c r="E55" s="51"/>
      <c r="F55" s="56"/>
    </row>
    <row r="56" spans="1:8" s="46" customFormat="1" x14ac:dyDescent="0.25">
      <c r="A56" s="55" t="s">
        <v>151</v>
      </c>
      <c r="B56" s="22"/>
      <c r="C56" s="18">
        <f>SUM(C30,C55)</f>
        <v>23037.857549857552</v>
      </c>
      <c r="D56" s="51"/>
      <c r="E56" s="51"/>
      <c r="F56" s="56"/>
      <c r="H56" s="622"/>
    </row>
    <row r="57" spans="1:8" s="46" customFormat="1" ht="15.75" x14ac:dyDescent="0.25">
      <c r="A57" s="629" t="s">
        <v>7</v>
      </c>
      <c r="B57" s="22"/>
      <c r="C57" s="3"/>
      <c r="D57" s="51"/>
      <c r="E57" s="51"/>
      <c r="F57" s="56"/>
    </row>
    <row r="58" spans="1:8" s="46" customFormat="1" x14ac:dyDescent="0.25">
      <c r="A58" s="86" t="s">
        <v>139</v>
      </c>
      <c r="B58" s="22"/>
      <c r="C58" s="3"/>
      <c r="D58" s="51"/>
      <c r="E58" s="51"/>
      <c r="F58" s="56"/>
    </row>
    <row r="59" spans="1:8" s="46" customFormat="1" x14ac:dyDescent="0.25">
      <c r="A59" s="59" t="s">
        <v>21</v>
      </c>
      <c r="B59" s="99">
        <v>300</v>
      </c>
      <c r="C59" s="99">
        <v>495</v>
      </c>
      <c r="D59" s="111">
        <v>11</v>
      </c>
      <c r="E59" s="99">
        <f>ROUND(F59/B59,0)</f>
        <v>18</v>
      </c>
      <c r="F59" s="3">
        <f>ROUND(C59*D59,0)</f>
        <v>5445</v>
      </c>
      <c r="H59" s="110"/>
    </row>
    <row r="60" spans="1:8" s="46" customFormat="1" x14ac:dyDescent="0.25">
      <c r="A60" s="59" t="s">
        <v>11</v>
      </c>
      <c r="B60" s="99">
        <v>300</v>
      </c>
      <c r="C60" s="99">
        <v>80</v>
      </c>
      <c r="D60" s="111">
        <v>9</v>
      </c>
      <c r="E60" s="99">
        <f>ROUND(F60/B60,0)</f>
        <v>2</v>
      </c>
      <c r="F60" s="3">
        <f>ROUND(C60*D60,0)</f>
        <v>720</v>
      </c>
    </row>
    <row r="61" spans="1:8" s="46" customFormat="1" x14ac:dyDescent="0.25">
      <c r="A61" s="34" t="s">
        <v>9</v>
      </c>
      <c r="B61" s="43"/>
      <c r="C61" s="63">
        <f t="shared" ref="C61" si="8">C59+C60</f>
        <v>575</v>
      </c>
      <c r="D61" s="303">
        <f>F61/C61</f>
        <v>10.721739130434782</v>
      </c>
      <c r="E61" s="56">
        <f>E59+E60</f>
        <v>20</v>
      </c>
      <c r="F61" s="56">
        <f>F59+F60</f>
        <v>6165</v>
      </c>
      <c r="H61" s="622"/>
    </row>
    <row r="62" spans="1:8" s="46" customFormat="1" x14ac:dyDescent="0.25">
      <c r="A62" s="43" t="s">
        <v>76</v>
      </c>
      <c r="B62" s="43"/>
      <c r="C62" s="63"/>
      <c r="D62" s="303"/>
      <c r="E62" s="56"/>
      <c r="F62" s="56"/>
    </row>
    <row r="63" spans="1:8" s="46" customFormat="1" x14ac:dyDescent="0.25">
      <c r="A63" s="30" t="s">
        <v>37</v>
      </c>
      <c r="B63" s="99">
        <v>240</v>
      </c>
      <c r="C63" s="99">
        <v>15</v>
      </c>
      <c r="D63" s="111">
        <v>8</v>
      </c>
      <c r="E63" s="99">
        <f>ROUND(F63/B63,0)</f>
        <v>1</v>
      </c>
      <c r="F63" s="3">
        <f>ROUND(C63*D63,0)</f>
        <v>120</v>
      </c>
    </row>
    <row r="64" spans="1:8" s="46" customFormat="1" x14ac:dyDescent="0.25">
      <c r="A64" s="96" t="s">
        <v>141</v>
      </c>
      <c r="B64" s="630"/>
      <c r="C64" s="120">
        <f t="shared" ref="C64" si="9">C63</f>
        <v>15</v>
      </c>
      <c r="D64" s="593">
        <f t="shared" ref="D64:F64" si="10">D63</f>
        <v>8</v>
      </c>
      <c r="E64" s="120">
        <f t="shared" si="10"/>
        <v>1</v>
      </c>
      <c r="F64" s="120">
        <f t="shared" si="10"/>
        <v>120</v>
      </c>
    </row>
    <row r="65" spans="1:6" ht="19.5" customHeight="1" x14ac:dyDescent="0.25">
      <c r="A65" s="62" t="s">
        <v>116</v>
      </c>
      <c r="B65" s="630"/>
      <c r="C65" s="63">
        <f t="shared" ref="C65" si="11">C61+C64</f>
        <v>590</v>
      </c>
      <c r="D65" s="303">
        <f>F65/C65</f>
        <v>10.652542372881356</v>
      </c>
      <c r="E65" s="56">
        <f>E61+E64</f>
        <v>21</v>
      </c>
      <c r="F65" s="56">
        <f>F61+F64</f>
        <v>6285</v>
      </c>
    </row>
    <row r="66" spans="1:6" s="46" customFormat="1" ht="18" customHeight="1" x14ac:dyDescent="0.25">
      <c r="A66" s="719" t="s">
        <v>172</v>
      </c>
      <c r="B66" s="630"/>
      <c r="C66" s="47">
        <f t="shared" ref="C66" si="12">C67+C69</f>
        <v>1502</v>
      </c>
      <c r="D66" s="121"/>
      <c r="E66" s="121"/>
      <c r="F66" s="121"/>
    </row>
    <row r="67" spans="1:6" x14ac:dyDescent="0.25">
      <c r="A67" s="122" t="s">
        <v>167</v>
      </c>
      <c r="B67" s="630"/>
      <c r="C67" s="47">
        <f t="shared" ref="C67" si="13">C68</f>
        <v>1500</v>
      </c>
      <c r="D67" s="121"/>
      <c r="E67" s="99"/>
      <c r="F67" s="121"/>
    </row>
    <row r="68" spans="1:6" x14ac:dyDescent="0.25">
      <c r="A68" s="123" t="s">
        <v>168</v>
      </c>
      <c r="B68" s="630"/>
      <c r="C68" s="45">
        <v>1500</v>
      </c>
      <c r="D68" s="121"/>
      <c r="E68" s="99"/>
      <c r="F68" s="121"/>
    </row>
    <row r="69" spans="1:6" x14ac:dyDescent="0.25">
      <c r="A69" s="122" t="s">
        <v>169</v>
      </c>
      <c r="B69" s="630"/>
      <c r="C69" s="124">
        <f t="shared" ref="C69" si="14">C70+C71</f>
        <v>2</v>
      </c>
      <c r="D69" s="121"/>
      <c r="E69" s="99"/>
      <c r="F69" s="121"/>
    </row>
    <row r="70" spans="1:6" ht="30" x14ac:dyDescent="0.25">
      <c r="A70" s="123" t="s">
        <v>170</v>
      </c>
      <c r="B70" s="630"/>
      <c r="C70" s="125">
        <v>2</v>
      </c>
      <c r="D70" s="121"/>
      <c r="E70" s="121"/>
      <c r="F70" s="121"/>
    </row>
    <row r="71" spans="1:6" ht="18.75" customHeight="1" x14ac:dyDescent="0.25">
      <c r="A71" s="199" t="s">
        <v>171</v>
      </c>
      <c r="B71" s="200"/>
      <c r="C71" s="630"/>
      <c r="D71" s="200"/>
      <c r="E71" s="200"/>
      <c r="F71" s="200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B260"/>
  <sheetViews>
    <sheetView zoomScale="80" zoomScaleNormal="80" zoomScaleSheetLayoutView="80" workbookViewId="0">
      <pane xSplit="1" ySplit="7" topLeftCell="B8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44.7109375" style="130" customWidth="1"/>
    <col min="2" max="2" width="10.28515625" style="130" customWidth="1"/>
    <col min="3" max="3" width="13.28515625" style="130" customWidth="1"/>
    <col min="4" max="4" width="13.42578125" style="130" customWidth="1"/>
    <col min="5" max="5" width="17.140625" style="130" customWidth="1"/>
    <col min="6" max="6" width="10.85546875" style="130" customWidth="1"/>
    <col min="7" max="10" width="11.42578125" style="130" customWidth="1"/>
    <col min="11" max="11" width="14.28515625" style="130" bestFit="1" customWidth="1"/>
    <col min="12" max="16384" width="11.42578125" style="130"/>
  </cols>
  <sheetData>
    <row r="1" spans="1:6" s="128" customFormat="1" ht="15" customHeight="1" x14ac:dyDescent="0.25">
      <c r="E1" s="143"/>
    </row>
    <row r="2" spans="1:6" s="128" customFormat="1" ht="31.5" customHeight="1" x14ac:dyDescent="0.25">
      <c r="A2" s="682" t="s">
        <v>294</v>
      </c>
      <c r="B2" s="712"/>
      <c r="C2" s="712"/>
      <c r="D2" s="712"/>
      <c r="E2" s="712"/>
      <c r="F2" s="712"/>
    </row>
    <row r="3" spans="1:6" ht="15.75" thickBot="1" x14ac:dyDescent="0.3">
      <c r="A3" s="713"/>
      <c r="B3" s="713"/>
      <c r="C3" s="713"/>
      <c r="D3" s="713"/>
      <c r="E3" s="713"/>
      <c r="F3" s="713"/>
    </row>
    <row r="4" spans="1:6" ht="33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6" ht="18.75" customHeight="1" x14ac:dyDescent="0.3">
      <c r="A5" s="9"/>
      <c r="B5" s="688"/>
      <c r="C5" s="710"/>
      <c r="D5" s="694"/>
      <c r="E5" s="688"/>
      <c r="F5" s="691"/>
    </row>
    <row r="6" spans="1:6" ht="51.75" customHeight="1" thickBot="1" x14ac:dyDescent="0.3">
      <c r="A6" s="10" t="s">
        <v>3</v>
      </c>
      <c r="B6" s="689"/>
      <c r="C6" s="711"/>
      <c r="D6" s="695"/>
      <c r="E6" s="689"/>
      <c r="F6" s="692"/>
    </row>
    <row r="7" spans="1:6" ht="15.75" thickBot="1" x14ac:dyDescent="0.3">
      <c r="A7" s="11">
        <v>1</v>
      </c>
      <c r="B7" s="12">
        <v>2</v>
      </c>
      <c r="C7" s="12">
        <v>3</v>
      </c>
      <c r="D7" s="12">
        <v>4</v>
      </c>
      <c r="E7" s="11">
        <v>5</v>
      </c>
      <c r="F7" s="12">
        <v>6</v>
      </c>
    </row>
    <row r="8" spans="1:6" ht="36" customHeight="1" x14ac:dyDescent="0.25">
      <c r="A8" s="718" t="s">
        <v>177</v>
      </c>
      <c r="B8" s="201"/>
      <c r="C8" s="201"/>
      <c r="D8" s="144"/>
      <c r="E8" s="144"/>
      <c r="F8" s="144"/>
    </row>
    <row r="9" spans="1:6" x14ac:dyDescent="0.25">
      <c r="A9" s="145" t="s">
        <v>4</v>
      </c>
      <c r="B9" s="146"/>
      <c r="C9" s="146"/>
      <c r="D9" s="45"/>
      <c r="E9" s="45"/>
      <c r="F9" s="45"/>
    </row>
    <row r="10" spans="1:6" x14ac:dyDescent="0.25">
      <c r="A10" s="71" t="s">
        <v>21</v>
      </c>
      <c r="B10" s="133">
        <v>340</v>
      </c>
      <c r="C10" s="45">
        <v>500</v>
      </c>
      <c r="D10" s="147">
        <v>9.5</v>
      </c>
      <c r="E10" s="100">
        <f t="shared" ref="E10:E19" si="0">ROUND(F10/B10,0)</f>
        <v>14</v>
      </c>
      <c r="F10" s="3">
        <f t="shared" ref="F10:F19" si="1">ROUND(C10*D10,0)</f>
        <v>4750</v>
      </c>
    </row>
    <row r="11" spans="1:6" x14ac:dyDescent="0.25">
      <c r="A11" s="71" t="s">
        <v>57</v>
      </c>
      <c r="B11" s="133">
        <v>340</v>
      </c>
      <c r="C11" s="45">
        <v>100</v>
      </c>
      <c r="D11" s="147">
        <v>10</v>
      </c>
      <c r="E11" s="100">
        <f t="shared" si="0"/>
        <v>3</v>
      </c>
      <c r="F11" s="3">
        <f t="shared" si="1"/>
        <v>1000</v>
      </c>
    </row>
    <row r="12" spans="1:6" x14ac:dyDescent="0.25">
      <c r="A12" s="71" t="s">
        <v>22</v>
      </c>
      <c r="B12" s="133">
        <v>340</v>
      </c>
      <c r="C12" s="45">
        <v>210</v>
      </c>
      <c r="D12" s="147">
        <v>9.5</v>
      </c>
      <c r="E12" s="100">
        <f t="shared" si="0"/>
        <v>6</v>
      </c>
      <c r="F12" s="3">
        <f t="shared" si="1"/>
        <v>1995</v>
      </c>
    </row>
    <row r="13" spans="1:6" x14ac:dyDescent="0.25">
      <c r="A13" s="71" t="s">
        <v>11</v>
      </c>
      <c r="B13" s="133">
        <v>340</v>
      </c>
      <c r="C13" s="45">
        <v>630</v>
      </c>
      <c r="D13" s="147">
        <v>9</v>
      </c>
      <c r="E13" s="100">
        <f t="shared" si="0"/>
        <v>17</v>
      </c>
      <c r="F13" s="3">
        <f t="shared" si="1"/>
        <v>5670</v>
      </c>
    </row>
    <row r="14" spans="1:6" x14ac:dyDescent="0.25">
      <c r="A14" s="71" t="s">
        <v>58</v>
      </c>
      <c r="B14" s="133">
        <v>340</v>
      </c>
      <c r="C14" s="45">
        <v>190</v>
      </c>
      <c r="D14" s="147">
        <v>11.5</v>
      </c>
      <c r="E14" s="100">
        <f t="shared" si="0"/>
        <v>6</v>
      </c>
      <c r="F14" s="3">
        <f t="shared" si="1"/>
        <v>2185</v>
      </c>
    </row>
    <row r="15" spans="1:6" x14ac:dyDescent="0.25">
      <c r="A15" s="71" t="s">
        <v>26</v>
      </c>
      <c r="B15" s="133">
        <v>320</v>
      </c>
      <c r="C15" s="45">
        <v>515</v>
      </c>
      <c r="D15" s="147">
        <v>9</v>
      </c>
      <c r="E15" s="100">
        <f t="shared" si="0"/>
        <v>14</v>
      </c>
      <c r="F15" s="3">
        <f t="shared" si="1"/>
        <v>4635</v>
      </c>
    </row>
    <row r="16" spans="1:6" x14ac:dyDescent="0.25">
      <c r="A16" s="71" t="s">
        <v>28</v>
      </c>
      <c r="B16" s="133">
        <v>300</v>
      </c>
      <c r="C16" s="45">
        <v>310</v>
      </c>
      <c r="D16" s="147">
        <v>6</v>
      </c>
      <c r="E16" s="100">
        <f t="shared" si="0"/>
        <v>6</v>
      </c>
      <c r="F16" s="3">
        <f t="shared" si="1"/>
        <v>1860</v>
      </c>
    </row>
    <row r="17" spans="1:11" x14ac:dyDescent="0.25">
      <c r="A17" s="71" t="s">
        <v>24</v>
      </c>
      <c r="B17" s="70">
        <v>340</v>
      </c>
      <c r="C17" s="45">
        <v>210</v>
      </c>
      <c r="D17" s="72">
        <v>7.7</v>
      </c>
      <c r="E17" s="100">
        <f t="shared" si="0"/>
        <v>5</v>
      </c>
      <c r="F17" s="3">
        <f t="shared" si="1"/>
        <v>1617</v>
      </c>
    </row>
    <row r="18" spans="1:11" x14ac:dyDescent="0.25">
      <c r="A18" s="71" t="s">
        <v>23</v>
      </c>
      <c r="B18" s="133">
        <v>340</v>
      </c>
      <c r="C18" s="45">
        <v>650</v>
      </c>
      <c r="D18" s="147">
        <v>6.1</v>
      </c>
      <c r="E18" s="100">
        <f t="shared" si="0"/>
        <v>12</v>
      </c>
      <c r="F18" s="3">
        <f t="shared" si="1"/>
        <v>3965</v>
      </c>
    </row>
    <row r="19" spans="1:11" x14ac:dyDescent="0.25">
      <c r="A19" s="36" t="s">
        <v>183</v>
      </c>
      <c r="B19" s="2">
        <v>330</v>
      </c>
      <c r="C19" s="45">
        <v>30</v>
      </c>
      <c r="D19" s="105">
        <v>10</v>
      </c>
      <c r="E19" s="100">
        <f t="shared" si="0"/>
        <v>1</v>
      </c>
      <c r="F19" s="3">
        <f t="shared" si="1"/>
        <v>300</v>
      </c>
    </row>
    <row r="20" spans="1:11" s="135" customFormat="1" ht="14.25" x14ac:dyDescent="0.2">
      <c r="A20" s="148" t="s">
        <v>5</v>
      </c>
      <c r="B20" s="149"/>
      <c r="C20" s="47">
        <f>SUM(C10:C19)</f>
        <v>3345</v>
      </c>
      <c r="D20" s="150">
        <f>F20/C20</f>
        <v>8.3638266068759339</v>
      </c>
      <c r="E20" s="151">
        <f>SUM(E10:E19)</f>
        <v>84</v>
      </c>
      <c r="F20" s="47">
        <f>SUM(F10:F19)</f>
        <v>27977</v>
      </c>
    </row>
    <row r="21" spans="1:11" s="20" customFormat="1" hidden="1" x14ac:dyDescent="0.25">
      <c r="A21" s="4"/>
      <c r="B21" s="5"/>
      <c r="C21" s="13"/>
      <c r="D21" s="14"/>
      <c r="E21" s="3"/>
      <c r="F21" s="13"/>
    </row>
    <row r="22" spans="1:11" s="20" customFormat="1" ht="14.25" hidden="1" x14ac:dyDescent="0.2">
      <c r="A22" s="15"/>
      <c r="B22" s="16"/>
      <c r="C22" s="19"/>
      <c r="D22" s="17"/>
      <c r="E22" s="19"/>
      <c r="F22" s="19"/>
    </row>
    <row r="23" spans="1:11" s="46" customFormat="1" ht="16.5" customHeight="1" x14ac:dyDescent="0.25">
      <c r="A23" s="21" t="s">
        <v>205</v>
      </c>
      <c r="B23" s="21"/>
      <c r="C23" s="74"/>
      <c r="D23" s="74"/>
      <c r="E23" s="74"/>
      <c r="F23" s="56"/>
    </row>
    <row r="24" spans="1:11" s="46" customFormat="1" ht="36.75" customHeight="1" x14ac:dyDescent="0.25">
      <c r="A24" s="23" t="s">
        <v>321</v>
      </c>
      <c r="B24" s="47"/>
      <c r="C24" s="45">
        <f>SUM(C26,C27,C28,C29)+C25/2.7</f>
        <v>33278.481481481482</v>
      </c>
      <c r="D24" s="51"/>
      <c r="E24" s="51"/>
      <c r="F24" s="56"/>
      <c r="H24" s="119"/>
      <c r="I24" s="110"/>
      <c r="J24" s="119"/>
      <c r="K24" s="152"/>
    </row>
    <row r="25" spans="1:11" s="46" customFormat="1" ht="15.75" customHeight="1" x14ac:dyDescent="0.25">
      <c r="A25" s="23" t="s">
        <v>286</v>
      </c>
      <c r="B25" s="28"/>
      <c r="C25" s="3">
        <v>679</v>
      </c>
      <c r="D25" s="28"/>
      <c r="E25" s="28"/>
      <c r="F25" s="28"/>
      <c r="H25" s="119"/>
      <c r="I25" s="110"/>
      <c r="J25" s="119"/>
      <c r="K25" s="152"/>
    </row>
    <row r="26" spans="1:11" s="46" customFormat="1" ht="15.75" customHeight="1" x14ac:dyDescent="0.25">
      <c r="A26" s="48" t="s">
        <v>206</v>
      </c>
      <c r="B26" s="47"/>
      <c r="C26" s="45"/>
      <c r="D26" s="51"/>
      <c r="E26" s="51"/>
      <c r="F26" s="56"/>
      <c r="H26" s="119"/>
      <c r="I26" s="110"/>
      <c r="J26" s="119"/>
      <c r="K26" s="152"/>
    </row>
    <row r="27" spans="1:11" s="46" customFormat="1" ht="30" customHeight="1" x14ac:dyDescent="0.25">
      <c r="A27" s="48" t="s">
        <v>207</v>
      </c>
      <c r="B27" s="47"/>
      <c r="C27" s="45">
        <v>5600</v>
      </c>
      <c r="D27" s="51"/>
      <c r="E27" s="51"/>
      <c r="F27" s="56"/>
      <c r="H27" s="119"/>
      <c r="I27" s="110"/>
      <c r="J27" s="119"/>
      <c r="K27" s="152"/>
    </row>
    <row r="28" spans="1:11" s="46" customFormat="1" ht="15.75" customHeight="1" x14ac:dyDescent="0.25">
      <c r="A28" s="48" t="s">
        <v>208</v>
      </c>
      <c r="B28" s="47"/>
      <c r="C28" s="45">
        <v>227</v>
      </c>
      <c r="D28" s="51"/>
      <c r="E28" s="51"/>
      <c r="F28" s="56"/>
      <c r="H28" s="119"/>
      <c r="I28" s="110"/>
      <c r="J28" s="119"/>
      <c r="K28" s="152"/>
    </row>
    <row r="29" spans="1:11" s="46" customFormat="1" ht="15.75" customHeight="1" x14ac:dyDescent="0.25">
      <c r="A29" s="23" t="s">
        <v>209</v>
      </c>
      <c r="B29" s="47"/>
      <c r="C29" s="45">
        <v>27200</v>
      </c>
      <c r="D29" s="51"/>
      <c r="E29" s="51"/>
      <c r="F29" s="56"/>
      <c r="H29" s="119"/>
      <c r="I29" s="110"/>
      <c r="J29" s="119"/>
      <c r="K29" s="152"/>
    </row>
    <row r="30" spans="1:11" s="46" customFormat="1" ht="47.25" customHeight="1" x14ac:dyDescent="0.25">
      <c r="A30" s="23" t="s">
        <v>285</v>
      </c>
      <c r="B30" s="47"/>
      <c r="C30" s="13">
        <v>258</v>
      </c>
      <c r="D30" s="45"/>
      <c r="E30" s="45"/>
      <c r="F30" s="45"/>
      <c r="G30" s="75"/>
      <c r="H30" s="119"/>
      <c r="I30" s="110"/>
      <c r="J30" s="119"/>
      <c r="K30" s="152"/>
    </row>
    <row r="31" spans="1:11" s="135" customFormat="1" x14ac:dyDescent="0.25">
      <c r="A31" s="24" t="s">
        <v>118</v>
      </c>
      <c r="B31" s="149"/>
      <c r="C31" s="45">
        <f>C32+C33</f>
        <v>37500.117647058825</v>
      </c>
      <c r="D31" s="150"/>
      <c r="E31" s="151"/>
      <c r="F31" s="47"/>
      <c r="H31" s="119"/>
      <c r="I31" s="110"/>
      <c r="J31" s="119"/>
      <c r="K31" s="152"/>
    </row>
    <row r="32" spans="1:11" s="135" customFormat="1" x14ac:dyDescent="0.25">
      <c r="A32" s="24" t="s">
        <v>259</v>
      </c>
      <c r="B32" s="149"/>
      <c r="C32" s="45">
        <f>35080-2500</f>
        <v>32580</v>
      </c>
      <c r="D32" s="153"/>
      <c r="E32" s="154"/>
      <c r="F32" s="155"/>
      <c r="G32" s="109"/>
      <c r="H32" s="119"/>
      <c r="I32" s="110"/>
      <c r="J32" s="119"/>
      <c r="K32" s="152"/>
    </row>
    <row r="33" spans="1:11" s="135" customFormat="1" x14ac:dyDescent="0.25">
      <c r="A33" s="24" t="s">
        <v>261</v>
      </c>
      <c r="B33" s="149"/>
      <c r="C33" s="13">
        <f>C34/8.5</f>
        <v>4920.1176470588234</v>
      </c>
      <c r="D33" s="153"/>
      <c r="E33" s="154"/>
      <c r="F33" s="155"/>
      <c r="G33" s="64"/>
      <c r="H33" s="119"/>
      <c r="I33" s="110"/>
      <c r="J33" s="119"/>
      <c r="K33" s="152"/>
    </row>
    <row r="34" spans="1:11" x14ac:dyDescent="0.25">
      <c r="A34" s="44" t="s">
        <v>260</v>
      </c>
      <c r="B34" s="47"/>
      <c r="C34" s="45">
        <v>41821</v>
      </c>
      <c r="D34" s="136"/>
      <c r="E34" s="136"/>
      <c r="F34" s="136"/>
      <c r="G34" s="110"/>
      <c r="H34" s="119"/>
      <c r="I34" s="110"/>
      <c r="J34" s="119"/>
      <c r="K34" s="152"/>
    </row>
    <row r="35" spans="1:11" x14ac:dyDescent="0.25">
      <c r="A35" s="49" t="s">
        <v>210</v>
      </c>
      <c r="B35" s="50"/>
      <c r="C35" s="18">
        <f>C24+ROUND(C32*3.2,0)+C34/3.9</f>
        <v>148257.81481481483</v>
      </c>
      <c r="D35" s="136"/>
      <c r="E35" s="136"/>
      <c r="F35" s="136"/>
      <c r="H35" s="119"/>
      <c r="I35" s="110"/>
      <c r="J35" s="119"/>
      <c r="K35" s="152"/>
    </row>
    <row r="36" spans="1:11" x14ac:dyDescent="0.25">
      <c r="A36" s="21" t="s">
        <v>153</v>
      </c>
      <c r="B36" s="22"/>
      <c r="C36" s="47"/>
      <c r="D36" s="136"/>
      <c r="E36" s="136"/>
      <c r="F36" s="136"/>
      <c r="H36" s="119"/>
      <c r="I36" s="110"/>
      <c r="J36" s="119"/>
      <c r="K36" s="152"/>
    </row>
    <row r="37" spans="1:11" ht="30" x14ac:dyDescent="0.25">
      <c r="A37" s="23" t="s">
        <v>321</v>
      </c>
      <c r="B37" s="22"/>
      <c r="C37" s="3">
        <f>SUM(C38,C39,C46,C52,C53,C54)</f>
        <v>26697</v>
      </c>
      <c r="D37" s="136"/>
      <c r="E37" s="136"/>
      <c r="F37" s="136"/>
      <c r="H37" s="119"/>
      <c r="I37" s="110"/>
      <c r="J37" s="119"/>
      <c r="K37" s="152"/>
    </row>
    <row r="38" spans="1:11" x14ac:dyDescent="0.25">
      <c r="A38" s="23" t="s">
        <v>206</v>
      </c>
      <c r="B38" s="22"/>
      <c r="C38" s="3"/>
      <c r="D38" s="136"/>
      <c r="E38" s="136"/>
      <c r="F38" s="136"/>
      <c r="H38" s="119"/>
      <c r="I38" s="110"/>
      <c r="J38" s="119"/>
      <c r="K38" s="152"/>
    </row>
    <row r="39" spans="1:11" ht="30" x14ac:dyDescent="0.25">
      <c r="A39" s="48" t="s">
        <v>211</v>
      </c>
      <c r="B39" s="22"/>
      <c r="C39" s="3">
        <f>C40+C41+C42+C44</f>
        <v>4884</v>
      </c>
      <c r="D39" s="136"/>
      <c r="E39" s="136"/>
      <c r="F39" s="136"/>
      <c r="H39" s="119"/>
      <c r="I39" s="110"/>
      <c r="J39" s="119"/>
      <c r="K39" s="152"/>
    </row>
    <row r="40" spans="1:11" ht="30" x14ac:dyDescent="0.25">
      <c r="A40" s="52" t="s">
        <v>212</v>
      </c>
      <c r="B40" s="22"/>
      <c r="C40" s="42">
        <f>3871-1871</f>
        <v>2000</v>
      </c>
      <c r="D40" s="136"/>
      <c r="E40" s="136"/>
      <c r="F40" s="136"/>
      <c r="H40" s="119"/>
      <c r="I40" s="110"/>
      <c r="J40" s="119"/>
      <c r="K40" s="152"/>
    </row>
    <row r="41" spans="1:11" ht="30" x14ac:dyDescent="0.25">
      <c r="A41" s="52" t="s">
        <v>213</v>
      </c>
      <c r="B41" s="22"/>
      <c r="C41" s="42">
        <v>1101</v>
      </c>
      <c r="D41" s="136"/>
      <c r="E41" s="136"/>
      <c r="F41" s="136"/>
      <c r="H41" s="119"/>
      <c r="I41" s="110"/>
      <c r="J41" s="119"/>
      <c r="K41" s="152"/>
    </row>
    <row r="42" spans="1:11" ht="45" x14ac:dyDescent="0.25">
      <c r="A42" s="52" t="s">
        <v>214</v>
      </c>
      <c r="B42" s="22"/>
      <c r="C42" s="42">
        <v>540</v>
      </c>
      <c r="D42" s="136"/>
      <c r="E42" s="136"/>
      <c r="F42" s="136"/>
      <c r="H42" s="119"/>
      <c r="I42" s="110"/>
      <c r="J42" s="119"/>
      <c r="K42" s="152"/>
    </row>
    <row r="43" spans="1:11" x14ac:dyDescent="0.25">
      <c r="A43" s="52" t="s">
        <v>215</v>
      </c>
      <c r="B43" s="22"/>
      <c r="C43" s="42">
        <v>54</v>
      </c>
      <c r="D43" s="136"/>
      <c r="E43" s="136"/>
      <c r="F43" s="136"/>
      <c r="H43" s="119"/>
      <c r="I43" s="110"/>
      <c r="J43" s="119"/>
      <c r="K43" s="152"/>
    </row>
    <row r="44" spans="1:11" ht="30" x14ac:dyDescent="0.25">
      <c r="A44" s="52" t="s">
        <v>216</v>
      </c>
      <c r="B44" s="22"/>
      <c r="C44" s="42">
        <v>1243</v>
      </c>
      <c r="D44" s="136"/>
      <c r="E44" s="136"/>
      <c r="F44" s="136"/>
      <c r="H44" s="119"/>
      <c r="I44" s="110"/>
      <c r="J44" s="119"/>
      <c r="K44" s="152"/>
    </row>
    <row r="45" spans="1:11" x14ac:dyDescent="0.25">
      <c r="A45" s="52" t="s">
        <v>215</v>
      </c>
      <c r="B45" s="22"/>
      <c r="C45" s="42">
        <v>149</v>
      </c>
      <c r="D45" s="136"/>
      <c r="E45" s="136"/>
      <c r="F45" s="136"/>
      <c r="H45" s="119"/>
      <c r="I45" s="110"/>
      <c r="J45" s="119"/>
      <c r="K45" s="152"/>
    </row>
    <row r="46" spans="1:11" ht="45" x14ac:dyDescent="0.25">
      <c r="A46" s="48" t="s">
        <v>217</v>
      </c>
      <c r="B46" s="22"/>
      <c r="C46" s="42">
        <f>C47+C48+C50+C52</f>
        <v>21813</v>
      </c>
      <c r="D46" s="136"/>
      <c r="E46" s="136"/>
      <c r="F46" s="136"/>
      <c r="H46" s="119"/>
      <c r="I46" s="110"/>
      <c r="J46" s="119"/>
      <c r="K46" s="152"/>
    </row>
    <row r="47" spans="1:11" ht="30" x14ac:dyDescent="0.25">
      <c r="A47" s="52" t="s">
        <v>218</v>
      </c>
      <c r="B47" s="22"/>
      <c r="C47" s="3">
        <f>3820+1000</f>
        <v>4820</v>
      </c>
      <c r="D47" s="136"/>
      <c r="E47" s="136"/>
      <c r="F47" s="136"/>
      <c r="G47" s="156"/>
      <c r="H47" s="119"/>
      <c r="I47" s="110"/>
      <c r="J47" s="119"/>
      <c r="K47" s="152"/>
    </row>
    <row r="48" spans="1:11" ht="60" x14ac:dyDescent="0.25">
      <c r="A48" s="52" t="s">
        <v>219</v>
      </c>
      <c r="B48" s="22"/>
      <c r="C48" s="42">
        <v>15565</v>
      </c>
      <c r="D48" s="136"/>
      <c r="E48" s="136"/>
      <c r="F48" s="136"/>
      <c r="G48" s="157"/>
      <c r="H48" s="119"/>
      <c r="I48" s="110"/>
      <c r="J48" s="119"/>
      <c r="K48" s="152"/>
    </row>
    <row r="49" spans="1:11" x14ac:dyDescent="0.25">
      <c r="A49" s="52" t="s">
        <v>215</v>
      </c>
      <c r="B49" s="22"/>
      <c r="C49" s="42">
        <v>5200</v>
      </c>
      <c r="D49" s="136"/>
      <c r="E49" s="136"/>
      <c r="F49" s="136"/>
      <c r="G49" s="157"/>
      <c r="H49" s="119"/>
      <c r="I49" s="110"/>
      <c r="J49" s="119"/>
      <c r="K49" s="152"/>
    </row>
    <row r="50" spans="1:11" ht="45" x14ac:dyDescent="0.25">
      <c r="A50" s="52" t="s">
        <v>220</v>
      </c>
      <c r="B50" s="22"/>
      <c r="C50" s="42">
        <v>1428</v>
      </c>
      <c r="D50" s="136"/>
      <c r="E50" s="136"/>
      <c r="F50" s="136"/>
      <c r="G50" s="157"/>
      <c r="H50" s="119"/>
      <c r="I50" s="110"/>
      <c r="J50" s="119"/>
      <c r="K50" s="152"/>
    </row>
    <row r="51" spans="1:11" x14ac:dyDescent="0.25">
      <c r="A51" s="52" t="s">
        <v>215</v>
      </c>
      <c r="B51" s="22"/>
      <c r="C51" s="42">
        <v>720</v>
      </c>
      <c r="D51" s="136"/>
      <c r="E51" s="136"/>
      <c r="F51" s="136"/>
      <c r="G51" s="157"/>
      <c r="H51" s="119"/>
      <c r="I51" s="110"/>
      <c r="J51" s="119"/>
      <c r="K51" s="152"/>
    </row>
    <row r="52" spans="1:11" ht="45" x14ac:dyDescent="0.25">
      <c r="A52" s="48" t="s">
        <v>221</v>
      </c>
      <c r="B52" s="22"/>
      <c r="C52" s="42"/>
      <c r="D52" s="136"/>
      <c r="E52" s="136"/>
      <c r="F52" s="136"/>
      <c r="H52" s="119"/>
      <c r="I52" s="110"/>
      <c r="J52" s="119"/>
      <c r="K52" s="152"/>
    </row>
    <row r="53" spans="1:11" ht="30" x14ac:dyDescent="0.25">
      <c r="A53" s="48" t="s">
        <v>222</v>
      </c>
      <c r="B53" s="22"/>
      <c r="C53" s="42"/>
      <c r="D53" s="136"/>
      <c r="E53" s="136"/>
      <c r="F53" s="136"/>
      <c r="H53" s="119"/>
      <c r="I53" s="110"/>
      <c r="J53" s="119"/>
      <c r="K53" s="152"/>
    </row>
    <row r="54" spans="1:11" x14ac:dyDescent="0.25">
      <c r="A54" s="23" t="s">
        <v>223</v>
      </c>
      <c r="B54" s="22"/>
      <c r="C54" s="42"/>
      <c r="D54" s="136"/>
      <c r="E54" s="136"/>
      <c r="F54" s="136"/>
      <c r="H54" s="119"/>
      <c r="I54" s="110"/>
      <c r="J54" s="119"/>
      <c r="K54" s="152"/>
    </row>
    <row r="55" spans="1:11" x14ac:dyDescent="0.25">
      <c r="A55" s="24" t="s">
        <v>118</v>
      </c>
      <c r="B55" s="47"/>
      <c r="C55" s="42"/>
      <c r="D55" s="136"/>
      <c r="E55" s="136"/>
      <c r="F55" s="136"/>
      <c r="H55" s="119"/>
      <c r="I55" s="110"/>
      <c r="J55" s="119"/>
      <c r="K55" s="152"/>
    </row>
    <row r="56" spans="1:11" x14ac:dyDescent="0.25">
      <c r="A56" s="44" t="s">
        <v>150</v>
      </c>
      <c r="B56" s="47"/>
      <c r="C56" s="3"/>
      <c r="D56" s="136"/>
      <c r="E56" s="136"/>
      <c r="F56" s="136"/>
      <c r="H56" s="119"/>
      <c r="I56" s="110"/>
      <c r="J56" s="119"/>
      <c r="K56" s="152"/>
    </row>
    <row r="57" spans="1:11" s="135" customFormat="1" ht="30" x14ac:dyDescent="0.25">
      <c r="A57" s="24" t="s">
        <v>119</v>
      </c>
      <c r="B57" s="149"/>
      <c r="C57" s="3">
        <f>5100-C59</f>
        <v>4800</v>
      </c>
      <c r="D57" s="150"/>
      <c r="E57" s="151"/>
      <c r="F57" s="47"/>
      <c r="G57" s="158"/>
      <c r="H57" s="119"/>
      <c r="I57" s="110"/>
      <c r="J57" s="119"/>
      <c r="K57" s="152"/>
    </row>
    <row r="58" spans="1:11" s="46" customFormat="1" ht="15.75" customHeight="1" x14ac:dyDescent="0.25">
      <c r="A58" s="137" t="s">
        <v>224</v>
      </c>
      <c r="B58" s="22"/>
      <c r="C58" s="3">
        <v>700</v>
      </c>
      <c r="D58" s="51"/>
      <c r="E58" s="51"/>
      <c r="F58" s="56"/>
      <c r="G58" s="98"/>
      <c r="H58" s="119"/>
      <c r="I58" s="110"/>
      <c r="J58" s="119"/>
      <c r="K58" s="152"/>
    </row>
    <row r="59" spans="1:11" s="46" customFormat="1" ht="58.5" customHeight="1" x14ac:dyDescent="0.25">
      <c r="A59" s="53" t="s">
        <v>296</v>
      </c>
      <c r="B59" s="22"/>
      <c r="C59" s="3">
        <v>300</v>
      </c>
      <c r="D59" s="51"/>
      <c r="E59" s="51"/>
      <c r="F59" s="56"/>
      <c r="G59" s="98"/>
      <c r="H59" s="119"/>
      <c r="I59" s="110"/>
      <c r="J59" s="119"/>
      <c r="K59" s="152"/>
    </row>
    <row r="60" spans="1:11" s="46" customFormat="1" x14ac:dyDescent="0.25">
      <c r="A60" s="54" t="s">
        <v>152</v>
      </c>
      <c r="B60" s="22"/>
      <c r="C60" s="18">
        <f>C37+ROUND(C55*3.2,0)+C57+C59</f>
        <v>31797</v>
      </c>
      <c r="D60" s="51"/>
      <c r="E60" s="51"/>
      <c r="F60" s="56"/>
      <c r="G60" s="98"/>
      <c r="H60" s="119"/>
      <c r="I60" s="110"/>
      <c r="J60" s="119"/>
      <c r="K60" s="152"/>
    </row>
    <row r="61" spans="1:11" s="46" customFormat="1" ht="29.25" x14ac:dyDescent="0.25">
      <c r="A61" s="55" t="s">
        <v>151</v>
      </c>
      <c r="B61" s="22"/>
      <c r="C61" s="18">
        <f>SUM(C35,C60)</f>
        <v>180054.81481481483</v>
      </c>
      <c r="D61" s="51"/>
      <c r="E61" s="51"/>
      <c r="F61" s="56"/>
      <c r="H61" s="119"/>
      <c r="I61" s="110"/>
      <c r="J61" s="119"/>
      <c r="K61" s="152"/>
    </row>
    <row r="62" spans="1:11" s="46" customFormat="1" x14ac:dyDescent="0.25">
      <c r="A62" s="197" t="s">
        <v>120</v>
      </c>
      <c r="B62" s="22"/>
      <c r="C62" s="18">
        <f>SUM(C63:C65)</f>
        <v>1010</v>
      </c>
      <c r="D62" s="51"/>
      <c r="E62" s="51"/>
      <c r="F62" s="56"/>
      <c r="H62" s="119"/>
      <c r="I62" s="110"/>
      <c r="J62" s="119"/>
      <c r="K62" s="152"/>
    </row>
    <row r="63" spans="1:11" s="46" customFormat="1" ht="60" x14ac:dyDescent="0.25">
      <c r="A63" s="80" t="s">
        <v>288</v>
      </c>
      <c r="B63" s="22"/>
      <c r="C63" s="3">
        <v>5</v>
      </c>
      <c r="D63" s="51"/>
      <c r="E63" s="51"/>
      <c r="F63" s="56"/>
      <c r="H63" s="119"/>
      <c r="I63" s="110"/>
      <c r="J63" s="119"/>
      <c r="K63" s="152"/>
    </row>
    <row r="64" spans="1:11" s="46" customFormat="1" ht="60" x14ac:dyDescent="0.25">
      <c r="A64" s="80" t="s">
        <v>287</v>
      </c>
      <c r="B64" s="22"/>
      <c r="C64" s="3">
        <v>5</v>
      </c>
      <c r="D64" s="51"/>
      <c r="E64" s="51"/>
      <c r="F64" s="56"/>
      <c r="H64" s="119"/>
      <c r="I64" s="110"/>
      <c r="J64" s="119"/>
      <c r="K64" s="152"/>
    </row>
    <row r="65" spans="1:11" s="46" customFormat="1" ht="30" x14ac:dyDescent="0.25">
      <c r="A65" s="80" t="s">
        <v>331</v>
      </c>
      <c r="B65" s="22"/>
      <c r="C65" s="3">
        <v>1000</v>
      </c>
      <c r="D65" s="51"/>
      <c r="E65" s="51"/>
      <c r="F65" s="56"/>
      <c r="H65" s="119"/>
      <c r="I65" s="110"/>
      <c r="J65" s="119"/>
      <c r="K65" s="152"/>
    </row>
    <row r="66" spans="1:11" s="135" customFormat="1" ht="18.75" customHeight="1" x14ac:dyDescent="0.25">
      <c r="A66" s="138" t="s">
        <v>7</v>
      </c>
      <c r="B66" s="159"/>
      <c r="C66" s="45"/>
      <c r="D66" s="100"/>
      <c r="E66" s="100"/>
      <c r="F66" s="45"/>
    </row>
    <row r="67" spans="1:11" s="135" customFormat="1" ht="15.75" customHeight="1" x14ac:dyDescent="0.25">
      <c r="A67" s="43" t="s">
        <v>139</v>
      </c>
      <c r="B67" s="159"/>
      <c r="C67" s="45"/>
      <c r="D67" s="100"/>
      <c r="E67" s="100"/>
      <c r="F67" s="45"/>
    </row>
    <row r="68" spans="1:11" s="135" customFormat="1" ht="15" customHeight="1" x14ac:dyDescent="0.25">
      <c r="A68" s="59" t="s">
        <v>26</v>
      </c>
      <c r="B68" s="79">
        <v>300</v>
      </c>
      <c r="C68" s="51">
        <v>350</v>
      </c>
      <c r="D68" s="160">
        <v>10</v>
      </c>
      <c r="E68" s="100">
        <f t="shared" ref="E68:E73" si="2">ROUND(F68/B68,0)</f>
        <v>12</v>
      </c>
      <c r="F68" s="3">
        <f t="shared" ref="F68:F73" si="3">ROUND(C68*D68,0)</f>
        <v>3500</v>
      </c>
    </row>
    <row r="69" spans="1:11" s="135" customFormat="1" ht="15" customHeight="1" x14ac:dyDescent="0.25">
      <c r="A69" s="59" t="s">
        <v>11</v>
      </c>
      <c r="B69" s="79">
        <v>300</v>
      </c>
      <c r="C69" s="51">
        <v>180</v>
      </c>
      <c r="D69" s="160">
        <v>9</v>
      </c>
      <c r="E69" s="100">
        <f t="shared" si="2"/>
        <v>5</v>
      </c>
      <c r="F69" s="3">
        <f t="shared" si="3"/>
        <v>1620</v>
      </c>
    </row>
    <row r="70" spans="1:11" s="135" customFormat="1" ht="15" customHeight="1" x14ac:dyDescent="0.25">
      <c r="A70" s="59" t="s">
        <v>21</v>
      </c>
      <c r="B70" s="79">
        <v>300</v>
      </c>
      <c r="C70" s="51">
        <v>260</v>
      </c>
      <c r="D70" s="160">
        <v>9</v>
      </c>
      <c r="E70" s="100">
        <f t="shared" si="2"/>
        <v>8</v>
      </c>
      <c r="F70" s="3">
        <f t="shared" si="3"/>
        <v>2340</v>
      </c>
    </row>
    <row r="71" spans="1:11" s="135" customFormat="1" ht="15" customHeight="1" x14ac:dyDescent="0.25">
      <c r="A71" s="59" t="s">
        <v>57</v>
      </c>
      <c r="B71" s="79">
        <v>300</v>
      </c>
      <c r="C71" s="51">
        <v>80</v>
      </c>
      <c r="D71" s="160">
        <v>11.5</v>
      </c>
      <c r="E71" s="100">
        <f t="shared" si="2"/>
        <v>3</v>
      </c>
      <c r="F71" s="3">
        <f t="shared" si="3"/>
        <v>920</v>
      </c>
    </row>
    <row r="72" spans="1:11" s="135" customFormat="1" ht="15" customHeight="1" x14ac:dyDescent="0.25">
      <c r="A72" s="59" t="s">
        <v>23</v>
      </c>
      <c r="B72" s="79">
        <v>300</v>
      </c>
      <c r="C72" s="51">
        <v>300</v>
      </c>
      <c r="D72" s="160">
        <v>5</v>
      </c>
      <c r="E72" s="100">
        <f t="shared" si="2"/>
        <v>5</v>
      </c>
      <c r="F72" s="3">
        <f t="shared" si="3"/>
        <v>1500</v>
      </c>
    </row>
    <row r="73" spans="1:11" s="135" customFormat="1" ht="15" customHeight="1" x14ac:dyDescent="0.25">
      <c r="A73" s="59" t="s">
        <v>24</v>
      </c>
      <c r="B73" s="79">
        <v>300</v>
      </c>
      <c r="C73" s="51">
        <v>100</v>
      </c>
      <c r="D73" s="160">
        <v>7.7</v>
      </c>
      <c r="E73" s="100">
        <f t="shared" si="2"/>
        <v>3</v>
      </c>
      <c r="F73" s="3">
        <f t="shared" si="3"/>
        <v>770</v>
      </c>
    </row>
    <row r="74" spans="1:11" s="135" customFormat="1" ht="17.25" customHeight="1" x14ac:dyDescent="0.25">
      <c r="A74" s="34" t="s">
        <v>9</v>
      </c>
      <c r="B74" s="161"/>
      <c r="C74" s="93">
        <f>SUM(C68:C73)</f>
        <v>1270</v>
      </c>
      <c r="D74" s="150">
        <f>F74/C74</f>
        <v>8.3858267716535426</v>
      </c>
      <c r="E74" s="93">
        <f>SUM(E68:E73)</f>
        <v>36</v>
      </c>
      <c r="F74" s="93">
        <f>SUM(F68:F73)</f>
        <v>10650</v>
      </c>
    </row>
    <row r="75" spans="1:11" s="135" customFormat="1" ht="17.25" customHeight="1" x14ac:dyDescent="0.25">
      <c r="A75" s="43" t="s">
        <v>76</v>
      </c>
      <c r="B75" s="161"/>
      <c r="C75" s="93"/>
      <c r="D75" s="150"/>
      <c r="E75" s="93"/>
      <c r="F75" s="93"/>
    </row>
    <row r="76" spans="1:11" s="135" customFormat="1" x14ac:dyDescent="0.25">
      <c r="A76" s="30" t="s">
        <v>37</v>
      </c>
      <c r="B76" s="159">
        <v>240</v>
      </c>
      <c r="C76" s="162">
        <v>360</v>
      </c>
      <c r="D76" s="163">
        <v>8</v>
      </c>
      <c r="E76" s="100">
        <f>ROUND(F76/B76,0)</f>
        <v>12</v>
      </c>
      <c r="F76" s="3">
        <f>ROUND(C76*D76,0)</f>
        <v>2880</v>
      </c>
    </row>
    <row r="77" spans="1:11" s="135" customFormat="1" x14ac:dyDescent="0.25">
      <c r="A77" s="30" t="s">
        <v>57</v>
      </c>
      <c r="B77" s="159">
        <v>240</v>
      </c>
      <c r="C77" s="162">
        <v>20</v>
      </c>
      <c r="D77" s="163">
        <v>8</v>
      </c>
      <c r="E77" s="100">
        <f t="shared" ref="E77" si="4">ROUND(F77/B77,0)</f>
        <v>1</v>
      </c>
      <c r="F77" s="3">
        <f t="shared" ref="F77" si="5">ROUND(C77*D77,0)</f>
        <v>160</v>
      </c>
    </row>
    <row r="78" spans="1:11" s="135" customFormat="1" x14ac:dyDescent="0.25">
      <c r="A78" s="96" t="s">
        <v>141</v>
      </c>
      <c r="B78" s="79"/>
      <c r="C78" s="164">
        <f>SUM(C76:C77)</f>
        <v>380</v>
      </c>
      <c r="D78" s="165">
        <f>D76</f>
        <v>8</v>
      </c>
      <c r="E78" s="164">
        <f>SUM(E76:E77)</f>
        <v>13</v>
      </c>
      <c r="F78" s="164">
        <f>SUM(F76:F77)</f>
        <v>3040</v>
      </c>
    </row>
    <row r="79" spans="1:11" ht="20.25" customHeight="1" x14ac:dyDescent="0.25">
      <c r="A79" s="31" t="s">
        <v>116</v>
      </c>
      <c r="B79" s="57"/>
      <c r="C79" s="47">
        <f>C74+C78</f>
        <v>1650</v>
      </c>
      <c r="D79" s="150">
        <f>F79/C79</f>
        <v>8.2969696969696969</v>
      </c>
      <c r="E79" s="47">
        <f>E74+E78</f>
        <v>49</v>
      </c>
      <c r="F79" s="47">
        <f>F74+F78</f>
        <v>13690</v>
      </c>
    </row>
    <row r="80" spans="1:11" ht="18" customHeight="1" x14ac:dyDescent="0.25">
      <c r="A80" s="148" t="s">
        <v>172</v>
      </c>
      <c r="B80" s="149"/>
      <c r="C80" s="47">
        <f>C81+C83</f>
        <v>7210</v>
      </c>
      <c r="D80" s="100"/>
      <c r="E80" s="100"/>
      <c r="F80" s="45"/>
    </row>
    <row r="81" spans="1:158" s="95" customFormat="1" x14ac:dyDescent="0.25">
      <c r="A81" s="122" t="s">
        <v>167</v>
      </c>
      <c r="B81" s="121"/>
      <c r="C81" s="166">
        <f>C82</f>
        <v>7200</v>
      </c>
      <c r="D81" s="121"/>
      <c r="E81" s="121"/>
      <c r="F81" s="121"/>
    </row>
    <row r="82" spans="1:158" s="95" customFormat="1" x14ac:dyDescent="0.25">
      <c r="A82" s="123" t="s">
        <v>168</v>
      </c>
      <c r="B82" s="121"/>
      <c r="C82" s="167">
        <v>7200</v>
      </c>
      <c r="D82" s="121"/>
      <c r="E82" s="121"/>
      <c r="F82" s="121"/>
    </row>
    <row r="83" spans="1:158" s="95" customFormat="1" x14ac:dyDescent="0.25">
      <c r="A83" s="122" t="s">
        <v>169</v>
      </c>
      <c r="B83" s="121"/>
      <c r="C83" s="166">
        <f>C84+C85</f>
        <v>10</v>
      </c>
      <c r="D83" s="121"/>
      <c r="E83" s="121"/>
      <c r="F83" s="121"/>
    </row>
    <row r="84" spans="1:158" s="95" customFormat="1" ht="30" x14ac:dyDescent="0.25">
      <c r="A84" s="123" t="s">
        <v>170</v>
      </c>
      <c r="B84" s="121"/>
      <c r="C84" s="167">
        <v>10</v>
      </c>
      <c r="D84" s="121"/>
      <c r="E84" s="121"/>
      <c r="F84" s="121"/>
    </row>
    <row r="85" spans="1:158" s="95" customFormat="1" ht="15.75" thickBot="1" x14ac:dyDescent="0.3">
      <c r="A85" s="126" t="s">
        <v>171</v>
      </c>
      <c r="B85" s="127"/>
      <c r="C85" s="127"/>
      <c r="D85" s="127"/>
      <c r="E85" s="127"/>
      <c r="F85" s="127"/>
    </row>
    <row r="86" spans="1:158" s="170" customFormat="1" ht="15.75" thickBot="1" x14ac:dyDescent="0.3">
      <c r="A86" s="168" t="s">
        <v>10</v>
      </c>
      <c r="B86" s="169"/>
      <c r="C86" s="169"/>
      <c r="D86" s="169"/>
      <c r="E86" s="169"/>
      <c r="F86" s="169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  <c r="BM86" s="135"/>
      <c r="BN86" s="135"/>
      <c r="BO86" s="135"/>
      <c r="BP86" s="135"/>
      <c r="BQ86" s="135"/>
      <c r="BR86" s="135"/>
      <c r="BS86" s="135"/>
      <c r="BT86" s="135"/>
      <c r="BU86" s="135"/>
      <c r="BV86" s="135"/>
      <c r="BW86" s="135"/>
      <c r="BX86" s="135"/>
      <c r="BY86" s="135"/>
      <c r="BZ86" s="135"/>
      <c r="CA86" s="135"/>
      <c r="CB86" s="135"/>
      <c r="CC86" s="135"/>
      <c r="CD86" s="135"/>
      <c r="CE86" s="135"/>
      <c r="CF86" s="135"/>
      <c r="CG86" s="135"/>
      <c r="CH86" s="135"/>
      <c r="CI86" s="135"/>
      <c r="CJ86" s="135"/>
      <c r="CK86" s="135"/>
      <c r="CL86" s="135"/>
      <c r="CM86" s="135"/>
      <c r="CN86" s="135"/>
      <c r="CO86" s="135"/>
      <c r="CP86" s="135"/>
      <c r="CQ86" s="135"/>
      <c r="CR86" s="135"/>
      <c r="CS86" s="135"/>
      <c r="CT86" s="135"/>
      <c r="CU86" s="135"/>
      <c r="CV86" s="135"/>
      <c r="CW86" s="135"/>
      <c r="CX86" s="135"/>
      <c r="CY86" s="135"/>
      <c r="CZ86" s="135"/>
      <c r="DA86" s="135"/>
      <c r="DB86" s="135"/>
      <c r="DC86" s="135"/>
      <c r="DD86" s="135"/>
      <c r="DE86" s="135"/>
      <c r="DF86" s="135"/>
      <c r="DG86" s="135"/>
      <c r="DH86" s="135"/>
      <c r="DI86" s="135"/>
      <c r="DJ86" s="135"/>
      <c r="DK86" s="135"/>
      <c r="DL86" s="135"/>
      <c r="DM86" s="135"/>
      <c r="DN86" s="135"/>
      <c r="DO86" s="135"/>
      <c r="DP86" s="135"/>
      <c r="DQ86" s="135"/>
      <c r="DR86" s="135"/>
      <c r="DS86" s="135"/>
      <c r="DT86" s="135"/>
      <c r="DU86" s="135"/>
      <c r="DV86" s="135"/>
      <c r="DW86" s="135"/>
      <c r="DX86" s="135"/>
      <c r="DY86" s="135"/>
      <c r="DZ86" s="135"/>
      <c r="EA86" s="135"/>
      <c r="EB86" s="135"/>
      <c r="EC86" s="135"/>
      <c r="ED86" s="135"/>
      <c r="EE86" s="135"/>
      <c r="EF86" s="135"/>
      <c r="EG86" s="135"/>
      <c r="EH86" s="135"/>
      <c r="EI86" s="135"/>
      <c r="EJ86" s="135"/>
      <c r="EK86" s="135"/>
      <c r="EL86" s="135"/>
      <c r="EM86" s="135"/>
      <c r="EN86" s="135"/>
      <c r="EO86" s="135"/>
      <c r="EP86" s="135"/>
      <c r="EQ86" s="135"/>
      <c r="ER86" s="135"/>
      <c r="ES86" s="135"/>
      <c r="ET86" s="135"/>
      <c r="EU86" s="135"/>
      <c r="EV86" s="135"/>
      <c r="EW86" s="135"/>
      <c r="EX86" s="135"/>
      <c r="EY86" s="135"/>
      <c r="EZ86" s="135"/>
      <c r="FA86" s="135"/>
      <c r="FB86" s="135"/>
    </row>
    <row r="87" spans="1:158" ht="43.5" hidden="1" customHeight="1" x14ac:dyDescent="0.25">
      <c r="A87" s="679" t="s">
        <v>94</v>
      </c>
      <c r="B87" s="631"/>
      <c r="C87" s="76"/>
      <c r="D87" s="141"/>
      <c r="E87" s="141"/>
      <c r="F87" s="76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  <c r="BM87" s="135"/>
      <c r="BN87" s="135"/>
      <c r="BO87" s="135"/>
      <c r="BP87" s="135"/>
      <c r="BQ87" s="135"/>
      <c r="BR87" s="135"/>
      <c r="BS87" s="135"/>
      <c r="BT87" s="135"/>
      <c r="BU87" s="135"/>
      <c r="BV87" s="135"/>
      <c r="BW87" s="135"/>
      <c r="BX87" s="135"/>
      <c r="BY87" s="135"/>
      <c r="BZ87" s="135"/>
      <c r="CA87" s="135"/>
      <c r="CB87" s="135"/>
      <c r="CC87" s="135"/>
      <c r="CD87" s="135"/>
      <c r="CE87" s="135"/>
      <c r="CF87" s="135"/>
      <c r="CG87" s="135"/>
      <c r="CH87" s="135"/>
      <c r="CI87" s="135"/>
      <c r="CJ87" s="135"/>
      <c r="CK87" s="135"/>
      <c r="CL87" s="135"/>
      <c r="CM87" s="135"/>
      <c r="CN87" s="135"/>
      <c r="CO87" s="135"/>
      <c r="CP87" s="135"/>
      <c r="CQ87" s="135"/>
      <c r="CR87" s="135"/>
      <c r="CS87" s="135"/>
      <c r="CT87" s="135"/>
      <c r="CU87" s="135"/>
      <c r="CV87" s="135"/>
      <c r="CW87" s="135"/>
      <c r="CX87" s="135"/>
      <c r="CY87" s="135"/>
      <c r="CZ87" s="135"/>
      <c r="DA87" s="135"/>
      <c r="DB87" s="135"/>
      <c r="DC87" s="135"/>
      <c r="DD87" s="135"/>
      <c r="DE87" s="135"/>
      <c r="DF87" s="135"/>
      <c r="DG87" s="135"/>
      <c r="DH87" s="135"/>
      <c r="DI87" s="135"/>
      <c r="DJ87" s="135"/>
      <c r="DK87" s="135"/>
      <c r="DL87" s="135"/>
      <c r="DM87" s="135"/>
      <c r="DN87" s="135"/>
      <c r="DO87" s="135"/>
      <c r="DP87" s="135"/>
      <c r="DQ87" s="135"/>
      <c r="DR87" s="135"/>
      <c r="DS87" s="135"/>
      <c r="DT87" s="135"/>
      <c r="DU87" s="135"/>
      <c r="DV87" s="135"/>
      <c r="DW87" s="135"/>
      <c r="DX87" s="135"/>
      <c r="DY87" s="135"/>
      <c r="DZ87" s="135"/>
      <c r="EA87" s="135"/>
      <c r="EB87" s="135"/>
      <c r="EC87" s="135"/>
      <c r="ED87" s="135"/>
      <c r="EE87" s="135"/>
      <c r="EF87" s="135"/>
      <c r="EG87" s="135"/>
      <c r="EH87" s="135"/>
      <c r="EI87" s="135"/>
      <c r="EJ87" s="135"/>
      <c r="EK87" s="135"/>
      <c r="EL87" s="135"/>
      <c r="EM87" s="135"/>
      <c r="EN87" s="135"/>
      <c r="EO87" s="135"/>
      <c r="EP87" s="135"/>
      <c r="EQ87" s="135"/>
      <c r="ER87" s="135"/>
      <c r="ES87" s="135"/>
      <c r="ET87" s="135"/>
      <c r="EU87" s="135"/>
      <c r="EV87" s="135"/>
      <c r="EW87" s="135"/>
      <c r="EX87" s="135"/>
      <c r="EY87" s="135"/>
      <c r="EZ87" s="135"/>
      <c r="FA87" s="135"/>
      <c r="FB87" s="135"/>
    </row>
    <row r="88" spans="1:158" hidden="1" x14ac:dyDescent="0.25">
      <c r="A88" s="145" t="s">
        <v>4</v>
      </c>
      <c r="B88" s="133"/>
      <c r="C88" s="45"/>
      <c r="D88" s="100"/>
      <c r="E88" s="100"/>
      <c r="F88" s="4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  <c r="BM88" s="135"/>
      <c r="BN88" s="135"/>
      <c r="BO88" s="135"/>
      <c r="BP88" s="135"/>
      <c r="BQ88" s="135"/>
      <c r="BR88" s="135"/>
      <c r="BS88" s="135"/>
      <c r="BT88" s="135"/>
      <c r="BU88" s="135"/>
      <c r="BV88" s="135"/>
      <c r="BW88" s="135"/>
      <c r="BX88" s="135"/>
      <c r="BY88" s="135"/>
      <c r="BZ88" s="135"/>
      <c r="CA88" s="135"/>
      <c r="CB88" s="135"/>
      <c r="CC88" s="135"/>
      <c r="CD88" s="135"/>
      <c r="CE88" s="135"/>
      <c r="CF88" s="135"/>
      <c r="CG88" s="135"/>
      <c r="CH88" s="135"/>
      <c r="CI88" s="135"/>
      <c r="CJ88" s="135"/>
      <c r="CK88" s="135"/>
      <c r="CL88" s="135"/>
      <c r="CM88" s="135"/>
      <c r="CN88" s="135"/>
      <c r="CO88" s="135"/>
      <c r="CP88" s="135"/>
      <c r="CQ88" s="135"/>
      <c r="CR88" s="135"/>
      <c r="CS88" s="135"/>
      <c r="CT88" s="135"/>
      <c r="CU88" s="135"/>
      <c r="CV88" s="135"/>
      <c r="CW88" s="135"/>
      <c r="CX88" s="135"/>
      <c r="CY88" s="135"/>
      <c r="CZ88" s="135"/>
      <c r="DA88" s="135"/>
      <c r="DB88" s="135"/>
      <c r="DC88" s="135"/>
      <c r="DD88" s="135"/>
      <c r="DE88" s="135"/>
      <c r="DF88" s="135"/>
      <c r="DG88" s="135"/>
      <c r="DH88" s="135"/>
      <c r="DI88" s="135"/>
      <c r="DJ88" s="135"/>
      <c r="DK88" s="135"/>
      <c r="DL88" s="135"/>
      <c r="DM88" s="135"/>
      <c r="DN88" s="135"/>
      <c r="DO88" s="135"/>
      <c r="DP88" s="135"/>
      <c r="DQ88" s="135"/>
      <c r="DR88" s="135"/>
      <c r="DS88" s="135"/>
      <c r="DT88" s="135"/>
      <c r="DU88" s="135"/>
      <c r="DV88" s="135"/>
      <c r="DW88" s="135"/>
      <c r="DX88" s="135"/>
      <c r="DY88" s="135"/>
      <c r="DZ88" s="135"/>
      <c r="EA88" s="135"/>
      <c r="EB88" s="135"/>
      <c r="EC88" s="135"/>
      <c r="ED88" s="135"/>
      <c r="EE88" s="135"/>
      <c r="EF88" s="135"/>
      <c r="EG88" s="135"/>
      <c r="EH88" s="135"/>
      <c r="EI88" s="135"/>
      <c r="EJ88" s="135"/>
      <c r="EK88" s="135"/>
      <c r="EL88" s="135"/>
      <c r="EM88" s="135"/>
      <c r="EN88" s="135"/>
      <c r="EO88" s="135"/>
      <c r="EP88" s="135"/>
      <c r="EQ88" s="135"/>
      <c r="ER88" s="135"/>
      <c r="ES88" s="135"/>
      <c r="ET88" s="135"/>
      <c r="EU88" s="135"/>
      <c r="EV88" s="135"/>
      <c r="EW88" s="135"/>
      <c r="EX88" s="135"/>
      <c r="EY88" s="135"/>
      <c r="EZ88" s="135"/>
      <c r="FA88" s="135"/>
      <c r="FB88" s="135"/>
    </row>
    <row r="89" spans="1:158" ht="15.75" hidden="1" customHeight="1" x14ac:dyDescent="0.25">
      <c r="A89" s="4" t="s">
        <v>57</v>
      </c>
      <c r="B89" s="133">
        <v>340</v>
      </c>
      <c r="C89" s="45">
        <v>400</v>
      </c>
      <c r="D89" s="147">
        <v>11.5</v>
      </c>
      <c r="E89" s="100">
        <f>ROUND(F89/B89,0)</f>
        <v>14</v>
      </c>
      <c r="F89" s="3">
        <f>ROUND(C89*D89,0)</f>
        <v>4600</v>
      </c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5"/>
      <c r="AE89" s="135"/>
      <c r="AF89" s="135"/>
      <c r="AG89" s="135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  <c r="BM89" s="135"/>
      <c r="BN89" s="135"/>
      <c r="BO89" s="135"/>
      <c r="BP89" s="135"/>
      <c r="BQ89" s="135"/>
      <c r="BR89" s="135"/>
      <c r="BS89" s="135"/>
      <c r="BT89" s="135"/>
      <c r="BU89" s="135"/>
      <c r="BV89" s="135"/>
      <c r="BW89" s="135"/>
      <c r="BX89" s="135"/>
      <c r="BY89" s="135"/>
      <c r="BZ89" s="135"/>
      <c r="CA89" s="135"/>
      <c r="CB89" s="135"/>
      <c r="CC89" s="135"/>
      <c r="CD89" s="135"/>
      <c r="CE89" s="135"/>
      <c r="CF89" s="135"/>
      <c r="CG89" s="135"/>
      <c r="CH89" s="135"/>
      <c r="CI89" s="135"/>
      <c r="CJ89" s="135"/>
      <c r="CK89" s="135"/>
      <c r="CL89" s="135"/>
      <c r="CM89" s="135"/>
      <c r="CN89" s="135"/>
      <c r="CO89" s="135"/>
      <c r="CP89" s="135"/>
      <c r="CQ89" s="135"/>
      <c r="CR89" s="135"/>
      <c r="CS89" s="135"/>
      <c r="CT89" s="135"/>
      <c r="CU89" s="135"/>
      <c r="CV89" s="135"/>
      <c r="CW89" s="135"/>
      <c r="CX89" s="135"/>
      <c r="CY89" s="135"/>
      <c r="CZ89" s="135"/>
      <c r="DA89" s="135"/>
      <c r="DB89" s="135"/>
      <c r="DC89" s="135"/>
      <c r="DD89" s="135"/>
      <c r="DE89" s="135"/>
      <c r="DF89" s="135"/>
      <c r="DG89" s="135"/>
      <c r="DH89" s="135"/>
      <c r="DI89" s="135"/>
      <c r="DJ89" s="135"/>
      <c r="DK89" s="135"/>
      <c r="DL89" s="135"/>
      <c r="DM89" s="135"/>
      <c r="DN89" s="135"/>
      <c r="DO89" s="135"/>
      <c r="DP89" s="135"/>
      <c r="DQ89" s="135"/>
      <c r="DR89" s="135"/>
      <c r="DS89" s="135"/>
      <c r="DT89" s="135"/>
      <c r="DU89" s="135"/>
      <c r="DV89" s="135"/>
      <c r="DW89" s="135"/>
      <c r="DX89" s="135"/>
      <c r="DY89" s="135"/>
      <c r="DZ89" s="135"/>
      <c r="EA89" s="135"/>
      <c r="EB89" s="135"/>
      <c r="EC89" s="135"/>
      <c r="ED89" s="135"/>
      <c r="EE89" s="135"/>
      <c r="EF89" s="135"/>
      <c r="EG89" s="135"/>
      <c r="EH89" s="135"/>
      <c r="EI89" s="135"/>
      <c r="EJ89" s="135"/>
      <c r="EK89" s="135"/>
      <c r="EL89" s="135"/>
      <c r="EM89" s="135"/>
      <c r="EN89" s="135"/>
      <c r="EO89" s="135"/>
      <c r="EP89" s="135"/>
      <c r="EQ89" s="135"/>
      <c r="ER89" s="135"/>
      <c r="ES89" s="135"/>
      <c r="ET89" s="135"/>
      <c r="EU89" s="135"/>
      <c r="EV89" s="135"/>
      <c r="EW89" s="135"/>
      <c r="EX89" s="135"/>
      <c r="EY89" s="135"/>
      <c r="EZ89" s="135"/>
      <c r="FA89" s="135"/>
      <c r="FB89" s="135"/>
    </row>
    <row r="90" spans="1:158" ht="15" hidden="1" customHeight="1" x14ac:dyDescent="0.25">
      <c r="A90" s="4" t="s">
        <v>11</v>
      </c>
      <c r="B90" s="133">
        <v>340</v>
      </c>
      <c r="C90" s="45">
        <v>180</v>
      </c>
      <c r="D90" s="147">
        <v>9</v>
      </c>
      <c r="E90" s="100">
        <f>ROUND(F90/B90,0)</f>
        <v>5</v>
      </c>
      <c r="F90" s="3">
        <f>ROUND(C90*D90,0)</f>
        <v>1620</v>
      </c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  <c r="BM90" s="135"/>
      <c r="BN90" s="135"/>
      <c r="BO90" s="135"/>
      <c r="BP90" s="135"/>
      <c r="BQ90" s="135"/>
      <c r="BR90" s="135"/>
      <c r="BS90" s="135"/>
      <c r="BT90" s="135"/>
      <c r="BU90" s="135"/>
      <c r="BV90" s="135"/>
      <c r="BW90" s="135"/>
      <c r="BX90" s="135"/>
      <c r="BY90" s="135"/>
      <c r="BZ90" s="135"/>
      <c r="CA90" s="135"/>
      <c r="CB90" s="135"/>
      <c r="CC90" s="135"/>
      <c r="CD90" s="135"/>
      <c r="CE90" s="135"/>
      <c r="CF90" s="135"/>
      <c r="CG90" s="135"/>
      <c r="CH90" s="135"/>
      <c r="CI90" s="135"/>
      <c r="CJ90" s="135"/>
      <c r="CK90" s="135"/>
      <c r="CL90" s="135"/>
      <c r="CM90" s="135"/>
      <c r="CN90" s="135"/>
      <c r="CO90" s="135"/>
      <c r="CP90" s="135"/>
      <c r="CQ90" s="135"/>
      <c r="CR90" s="135"/>
      <c r="CS90" s="135"/>
      <c r="CT90" s="135"/>
      <c r="CU90" s="135"/>
      <c r="CV90" s="135"/>
      <c r="CW90" s="135"/>
      <c r="CX90" s="135"/>
      <c r="CY90" s="135"/>
      <c r="CZ90" s="135"/>
      <c r="DA90" s="135"/>
      <c r="DB90" s="135"/>
      <c r="DC90" s="135"/>
      <c r="DD90" s="135"/>
      <c r="DE90" s="135"/>
      <c r="DF90" s="135"/>
      <c r="DG90" s="135"/>
      <c r="DH90" s="135"/>
      <c r="DI90" s="135"/>
      <c r="DJ90" s="135"/>
      <c r="DK90" s="135"/>
      <c r="DL90" s="135"/>
      <c r="DM90" s="135"/>
      <c r="DN90" s="135"/>
      <c r="DO90" s="135"/>
      <c r="DP90" s="135"/>
      <c r="DQ90" s="135"/>
      <c r="DR90" s="135"/>
      <c r="DS90" s="135"/>
      <c r="DT90" s="135"/>
      <c r="DU90" s="135"/>
      <c r="DV90" s="135"/>
      <c r="DW90" s="135"/>
      <c r="DX90" s="135"/>
      <c r="DY90" s="135"/>
      <c r="DZ90" s="135"/>
      <c r="EA90" s="135"/>
      <c r="EB90" s="135"/>
      <c r="EC90" s="135"/>
      <c r="ED90" s="135"/>
      <c r="EE90" s="135"/>
      <c r="EF90" s="135"/>
      <c r="EG90" s="135"/>
      <c r="EH90" s="135"/>
      <c r="EI90" s="135"/>
      <c r="EJ90" s="135"/>
      <c r="EK90" s="135"/>
      <c r="EL90" s="135"/>
      <c r="EM90" s="135"/>
      <c r="EN90" s="135"/>
      <c r="EO90" s="135"/>
      <c r="EP90" s="135"/>
      <c r="EQ90" s="135"/>
      <c r="ER90" s="135"/>
      <c r="ES90" s="135"/>
      <c r="ET90" s="135"/>
      <c r="EU90" s="135"/>
      <c r="EV90" s="135"/>
      <c r="EW90" s="135"/>
      <c r="EX90" s="135"/>
      <c r="EY90" s="135"/>
      <c r="EZ90" s="135"/>
      <c r="FA90" s="135"/>
      <c r="FB90" s="135"/>
    </row>
    <row r="91" spans="1:158" ht="15" hidden="1" customHeight="1" x14ac:dyDescent="0.25">
      <c r="A91" s="4" t="s">
        <v>21</v>
      </c>
      <c r="B91" s="133">
        <v>340</v>
      </c>
      <c r="C91" s="45">
        <v>290</v>
      </c>
      <c r="D91" s="147">
        <v>11</v>
      </c>
      <c r="E91" s="100">
        <f>ROUND(F91/B91,0)</f>
        <v>9</v>
      </c>
      <c r="F91" s="3">
        <f>ROUND(C91*D91,0)</f>
        <v>3190</v>
      </c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35"/>
      <c r="AK91" s="135"/>
      <c r="AL91" s="135"/>
      <c r="AM91" s="135"/>
      <c r="AN91" s="135"/>
      <c r="AO91" s="135"/>
      <c r="AP91" s="135"/>
      <c r="AQ91" s="135"/>
      <c r="AR91" s="135"/>
      <c r="AS91" s="135"/>
      <c r="AT91" s="135"/>
      <c r="AU91" s="135"/>
      <c r="AV91" s="135"/>
      <c r="AW91" s="135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  <c r="BM91" s="135"/>
      <c r="BN91" s="135"/>
      <c r="BO91" s="135"/>
      <c r="BP91" s="135"/>
      <c r="BQ91" s="135"/>
      <c r="BR91" s="135"/>
      <c r="BS91" s="135"/>
      <c r="BT91" s="135"/>
      <c r="BU91" s="135"/>
      <c r="BV91" s="135"/>
      <c r="BW91" s="135"/>
      <c r="BX91" s="135"/>
      <c r="BY91" s="135"/>
      <c r="BZ91" s="135"/>
      <c r="CA91" s="135"/>
      <c r="CB91" s="135"/>
      <c r="CC91" s="135"/>
      <c r="CD91" s="135"/>
      <c r="CE91" s="135"/>
      <c r="CF91" s="135"/>
      <c r="CG91" s="135"/>
      <c r="CH91" s="135"/>
      <c r="CI91" s="135"/>
      <c r="CJ91" s="135"/>
      <c r="CK91" s="135"/>
      <c r="CL91" s="135"/>
      <c r="CM91" s="135"/>
      <c r="CN91" s="135"/>
      <c r="CO91" s="135"/>
      <c r="CP91" s="135"/>
      <c r="CQ91" s="135"/>
      <c r="CR91" s="135"/>
      <c r="CS91" s="135"/>
      <c r="CT91" s="135"/>
      <c r="CU91" s="135"/>
      <c r="CV91" s="135"/>
      <c r="CW91" s="135"/>
      <c r="CX91" s="135"/>
      <c r="CY91" s="135"/>
      <c r="CZ91" s="135"/>
      <c r="DA91" s="135"/>
      <c r="DB91" s="135"/>
      <c r="DC91" s="135"/>
      <c r="DD91" s="135"/>
      <c r="DE91" s="135"/>
      <c r="DF91" s="135"/>
      <c r="DG91" s="135"/>
      <c r="DH91" s="135"/>
      <c r="DI91" s="135"/>
      <c r="DJ91" s="135"/>
      <c r="DK91" s="135"/>
      <c r="DL91" s="135"/>
      <c r="DM91" s="135"/>
      <c r="DN91" s="135"/>
      <c r="DO91" s="135"/>
      <c r="DP91" s="135"/>
      <c r="DQ91" s="135"/>
      <c r="DR91" s="135"/>
      <c r="DS91" s="135"/>
      <c r="DT91" s="135"/>
      <c r="DU91" s="135"/>
      <c r="DV91" s="135"/>
      <c r="DW91" s="135"/>
      <c r="DX91" s="135"/>
      <c r="DY91" s="135"/>
      <c r="DZ91" s="135"/>
      <c r="EA91" s="135"/>
      <c r="EB91" s="135"/>
      <c r="EC91" s="135"/>
      <c r="ED91" s="135"/>
      <c r="EE91" s="135"/>
      <c r="EF91" s="135"/>
      <c r="EG91" s="135"/>
      <c r="EH91" s="135"/>
      <c r="EI91" s="135"/>
      <c r="EJ91" s="135"/>
      <c r="EK91" s="135"/>
      <c r="EL91" s="135"/>
      <c r="EM91" s="135"/>
      <c r="EN91" s="135"/>
      <c r="EO91" s="135"/>
      <c r="EP91" s="135"/>
      <c r="EQ91" s="135"/>
      <c r="ER91" s="135"/>
      <c r="ES91" s="135"/>
      <c r="ET91" s="135"/>
      <c r="EU91" s="135"/>
      <c r="EV91" s="135"/>
      <c r="EW91" s="135"/>
      <c r="EX91" s="135"/>
      <c r="EY91" s="135"/>
      <c r="EZ91" s="135"/>
      <c r="FA91" s="135"/>
      <c r="FB91" s="135"/>
    </row>
    <row r="92" spans="1:158" s="6" customFormat="1" hidden="1" x14ac:dyDescent="0.25">
      <c r="A92" s="4" t="s">
        <v>27</v>
      </c>
      <c r="B92" s="61">
        <v>270</v>
      </c>
      <c r="C92" s="45">
        <v>420</v>
      </c>
      <c r="D92" s="171">
        <v>7.5</v>
      </c>
      <c r="E92" s="100">
        <f>ROUND(F92/B92,0)</f>
        <v>12</v>
      </c>
      <c r="F92" s="3">
        <f>ROUND(C92*D92,0)</f>
        <v>3150</v>
      </c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35"/>
      <c r="AK92" s="135"/>
      <c r="AL92" s="135"/>
      <c r="AM92" s="135"/>
      <c r="AN92" s="135"/>
      <c r="AO92" s="135"/>
      <c r="AP92" s="135"/>
      <c r="AQ92" s="135"/>
      <c r="AR92" s="135"/>
      <c r="AS92" s="135"/>
      <c r="AT92" s="135"/>
      <c r="AU92" s="135"/>
      <c r="AV92" s="135"/>
      <c r="AW92" s="135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  <c r="BM92" s="135"/>
      <c r="BN92" s="135"/>
      <c r="BO92" s="135"/>
      <c r="BP92" s="135"/>
      <c r="BQ92" s="135"/>
      <c r="BR92" s="135"/>
      <c r="BS92" s="135"/>
      <c r="BT92" s="135"/>
      <c r="BU92" s="135"/>
      <c r="BV92" s="135"/>
      <c r="BW92" s="135"/>
      <c r="BX92" s="135"/>
      <c r="BY92" s="135"/>
      <c r="BZ92" s="135"/>
      <c r="CA92" s="135"/>
      <c r="CB92" s="135"/>
      <c r="CC92" s="135"/>
      <c r="CD92" s="135"/>
      <c r="CE92" s="135"/>
      <c r="CF92" s="135"/>
      <c r="CG92" s="135"/>
      <c r="CH92" s="135"/>
      <c r="CI92" s="135"/>
      <c r="CJ92" s="135"/>
      <c r="CK92" s="135"/>
      <c r="CL92" s="135"/>
      <c r="CM92" s="135"/>
      <c r="CN92" s="135"/>
      <c r="CO92" s="135"/>
      <c r="CP92" s="135"/>
      <c r="CQ92" s="135"/>
      <c r="CR92" s="135"/>
      <c r="CS92" s="135"/>
      <c r="CT92" s="135"/>
      <c r="CU92" s="135"/>
      <c r="CV92" s="135"/>
      <c r="CW92" s="135"/>
      <c r="CX92" s="135"/>
      <c r="CY92" s="135"/>
      <c r="CZ92" s="135"/>
      <c r="DA92" s="135"/>
      <c r="DB92" s="135"/>
      <c r="DC92" s="135"/>
      <c r="DD92" s="135"/>
      <c r="DE92" s="135"/>
      <c r="DF92" s="135"/>
      <c r="DG92" s="135"/>
      <c r="DH92" s="135"/>
      <c r="DI92" s="135"/>
      <c r="DJ92" s="135"/>
      <c r="DK92" s="135"/>
      <c r="DL92" s="135"/>
      <c r="DM92" s="135"/>
      <c r="DN92" s="135"/>
      <c r="DO92" s="135"/>
      <c r="DP92" s="135"/>
      <c r="DQ92" s="135"/>
      <c r="DR92" s="135"/>
      <c r="DS92" s="135"/>
      <c r="DT92" s="135"/>
      <c r="DU92" s="135"/>
      <c r="DV92" s="135"/>
      <c r="DW92" s="135"/>
      <c r="DX92" s="135"/>
      <c r="DY92" s="135"/>
      <c r="DZ92" s="135"/>
      <c r="EA92" s="135"/>
      <c r="EB92" s="135"/>
      <c r="EC92" s="135"/>
      <c r="ED92" s="135"/>
      <c r="EE92" s="135"/>
      <c r="EF92" s="135"/>
      <c r="EG92" s="135"/>
      <c r="EH92" s="135"/>
      <c r="EI92" s="135"/>
      <c r="EJ92" s="135"/>
      <c r="EK92" s="135"/>
      <c r="EL92" s="135"/>
      <c r="EM92" s="135"/>
      <c r="EN92" s="135"/>
      <c r="EO92" s="135"/>
      <c r="EP92" s="135"/>
      <c r="EQ92" s="135"/>
      <c r="ER92" s="135"/>
      <c r="ES92" s="135"/>
      <c r="ET92" s="135"/>
      <c r="EU92" s="135"/>
      <c r="EV92" s="135"/>
      <c r="EW92" s="135"/>
      <c r="EX92" s="135"/>
      <c r="EY92" s="135"/>
      <c r="EZ92" s="135"/>
      <c r="FA92" s="135"/>
      <c r="FB92" s="135"/>
    </row>
    <row r="93" spans="1:158" s="6" customFormat="1" hidden="1" x14ac:dyDescent="0.25">
      <c r="A93" s="4" t="s">
        <v>23</v>
      </c>
      <c r="B93" s="61">
        <v>340</v>
      </c>
      <c r="C93" s="45">
        <v>50</v>
      </c>
      <c r="D93" s="171">
        <v>7</v>
      </c>
      <c r="E93" s="100">
        <f t="shared" ref="E93:E94" si="6">ROUND(F93/B93,0)</f>
        <v>1</v>
      </c>
      <c r="F93" s="3">
        <f t="shared" ref="F93:F94" si="7">ROUND(C93*D93,0)</f>
        <v>350</v>
      </c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  <c r="BM93" s="135"/>
      <c r="BN93" s="135"/>
      <c r="BO93" s="135"/>
      <c r="BP93" s="135"/>
      <c r="BQ93" s="135"/>
      <c r="BR93" s="135"/>
      <c r="BS93" s="135"/>
      <c r="BT93" s="135"/>
      <c r="BU93" s="135"/>
      <c r="BV93" s="135"/>
      <c r="BW93" s="135"/>
      <c r="BX93" s="135"/>
      <c r="BY93" s="135"/>
      <c r="BZ93" s="135"/>
      <c r="CA93" s="135"/>
      <c r="CB93" s="135"/>
      <c r="CC93" s="135"/>
      <c r="CD93" s="135"/>
      <c r="CE93" s="135"/>
      <c r="CF93" s="135"/>
      <c r="CG93" s="135"/>
      <c r="CH93" s="135"/>
      <c r="CI93" s="135"/>
      <c r="CJ93" s="135"/>
      <c r="CK93" s="135"/>
      <c r="CL93" s="135"/>
      <c r="CM93" s="135"/>
      <c r="CN93" s="135"/>
      <c r="CO93" s="135"/>
      <c r="CP93" s="135"/>
      <c r="CQ93" s="135"/>
      <c r="CR93" s="135"/>
      <c r="CS93" s="135"/>
      <c r="CT93" s="135"/>
      <c r="CU93" s="135"/>
      <c r="CV93" s="135"/>
      <c r="CW93" s="135"/>
      <c r="CX93" s="135"/>
      <c r="CY93" s="135"/>
      <c r="CZ93" s="135"/>
      <c r="DA93" s="135"/>
      <c r="DB93" s="135"/>
      <c r="DC93" s="135"/>
      <c r="DD93" s="135"/>
      <c r="DE93" s="135"/>
      <c r="DF93" s="135"/>
      <c r="DG93" s="135"/>
      <c r="DH93" s="135"/>
      <c r="DI93" s="135"/>
      <c r="DJ93" s="135"/>
      <c r="DK93" s="135"/>
      <c r="DL93" s="135"/>
      <c r="DM93" s="135"/>
      <c r="DN93" s="135"/>
      <c r="DO93" s="135"/>
      <c r="DP93" s="135"/>
      <c r="DQ93" s="135"/>
      <c r="DR93" s="135"/>
      <c r="DS93" s="135"/>
      <c r="DT93" s="135"/>
      <c r="DU93" s="135"/>
      <c r="DV93" s="135"/>
      <c r="DW93" s="135"/>
      <c r="DX93" s="135"/>
      <c r="DY93" s="135"/>
      <c r="DZ93" s="135"/>
      <c r="EA93" s="135"/>
      <c r="EB93" s="135"/>
      <c r="EC93" s="135"/>
      <c r="ED93" s="135"/>
      <c r="EE93" s="135"/>
      <c r="EF93" s="135"/>
      <c r="EG93" s="135"/>
      <c r="EH93" s="135"/>
      <c r="EI93" s="135"/>
      <c r="EJ93" s="135"/>
      <c r="EK93" s="135"/>
      <c r="EL93" s="135"/>
      <c r="EM93" s="135"/>
      <c r="EN93" s="135"/>
      <c r="EO93" s="135"/>
      <c r="EP93" s="135"/>
      <c r="EQ93" s="135"/>
      <c r="ER93" s="135"/>
      <c r="ES93" s="135"/>
      <c r="ET93" s="135"/>
      <c r="EU93" s="135"/>
      <c r="EV93" s="135"/>
      <c r="EW93" s="135"/>
      <c r="EX93" s="135"/>
      <c r="EY93" s="135"/>
      <c r="EZ93" s="135"/>
      <c r="FA93" s="135"/>
      <c r="FB93" s="135"/>
    </row>
    <row r="94" spans="1:158" s="6" customFormat="1" hidden="1" x14ac:dyDescent="0.25">
      <c r="A94" s="4" t="s">
        <v>138</v>
      </c>
      <c r="B94" s="90">
        <v>340</v>
      </c>
      <c r="C94" s="2">
        <v>190</v>
      </c>
      <c r="D94" s="58">
        <v>12.5</v>
      </c>
      <c r="E94" s="100">
        <f t="shared" si="6"/>
        <v>7</v>
      </c>
      <c r="F94" s="3">
        <f t="shared" si="7"/>
        <v>2375</v>
      </c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5"/>
      <c r="BR94" s="135"/>
      <c r="BS94" s="135"/>
      <c r="BT94" s="135"/>
      <c r="BU94" s="135"/>
      <c r="BV94" s="135"/>
      <c r="BW94" s="135"/>
      <c r="BX94" s="135"/>
      <c r="BY94" s="135"/>
      <c r="BZ94" s="135"/>
      <c r="CA94" s="135"/>
      <c r="CB94" s="135"/>
      <c r="CC94" s="135"/>
      <c r="CD94" s="135"/>
      <c r="CE94" s="135"/>
      <c r="CF94" s="135"/>
      <c r="CG94" s="135"/>
      <c r="CH94" s="135"/>
      <c r="CI94" s="135"/>
      <c r="CJ94" s="135"/>
      <c r="CK94" s="135"/>
      <c r="CL94" s="135"/>
      <c r="CM94" s="135"/>
      <c r="CN94" s="135"/>
      <c r="CO94" s="135"/>
      <c r="CP94" s="135"/>
      <c r="CQ94" s="135"/>
      <c r="CR94" s="135"/>
      <c r="CS94" s="135"/>
      <c r="CT94" s="135"/>
      <c r="CU94" s="135"/>
      <c r="CV94" s="135"/>
      <c r="CW94" s="135"/>
      <c r="CX94" s="135"/>
      <c r="CY94" s="135"/>
      <c r="CZ94" s="135"/>
      <c r="DA94" s="135"/>
      <c r="DB94" s="135"/>
      <c r="DC94" s="135"/>
      <c r="DD94" s="135"/>
      <c r="DE94" s="135"/>
      <c r="DF94" s="135"/>
      <c r="DG94" s="135"/>
      <c r="DH94" s="135"/>
      <c r="DI94" s="135"/>
      <c r="DJ94" s="135"/>
      <c r="DK94" s="135"/>
      <c r="DL94" s="135"/>
      <c r="DM94" s="135"/>
      <c r="DN94" s="135"/>
      <c r="DO94" s="135"/>
      <c r="DP94" s="135"/>
      <c r="DQ94" s="135"/>
      <c r="DR94" s="135"/>
      <c r="DS94" s="135"/>
      <c r="DT94" s="135"/>
      <c r="DU94" s="135"/>
      <c r="DV94" s="135"/>
      <c r="DW94" s="135"/>
      <c r="DX94" s="135"/>
      <c r="DY94" s="135"/>
      <c r="DZ94" s="135"/>
      <c r="EA94" s="135"/>
      <c r="EB94" s="135"/>
      <c r="EC94" s="135"/>
      <c r="ED94" s="135"/>
      <c r="EE94" s="135"/>
      <c r="EF94" s="135"/>
      <c r="EG94" s="135"/>
      <c r="EH94" s="135"/>
      <c r="EI94" s="135"/>
      <c r="EJ94" s="135"/>
      <c r="EK94" s="135"/>
      <c r="EL94" s="135"/>
      <c r="EM94" s="135"/>
      <c r="EN94" s="135"/>
      <c r="EO94" s="135"/>
      <c r="EP94" s="135"/>
      <c r="EQ94" s="135"/>
      <c r="ER94" s="135"/>
      <c r="ES94" s="135"/>
      <c r="ET94" s="135"/>
      <c r="EU94" s="135"/>
      <c r="EV94" s="135"/>
      <c r="EW94" s="135"/>
      <c r="EX94" s="135"/>
      <c r="EY94" s="135"/>
      <c r="EZ94" s="135"/>
      <c r="FA94" s="135"/>
      <c r="FB94" s="135"/>
    </row>
    <row r="95" spans="1:158" s="135" customFormat="1" ht="14.25" hidden="1" x14ac:dyDescent="0.2">
      <c r="A95" s="148" t="s">
        <v>5</v>
      </c>
      <c r="B95" s="149"/>
      <c r="C95" s="47">
        <f>SUM(C89:C94)</f>
        <v>1530</v>
      </c>
      <c r="D95" s="150">
        <f>F95/C95</f>
        <v>9.9901960784313726</v>
      </c>
      <c r="E95" s="108">
        <f>SUM(E89:E94)</f>
        <v>48</v>
      </c>
      <c r="F95" s="47">
        <f>SUM(F89:F94)</f>
        <v>15285</v>
      </c>
    </row>
    <row r="96" spans="1:158" s="46" customFormat="1" ht="21" hidden="1" customHeight="1" x14ac:dyDescent="0.25">
      <c r="A96" s="21" t="s">
        <v>205</v>
      </c>
      <c r="B96" s="21"/>
      <c r="C96" s="74"/>
      <c r="D96" s="74"/>
      <c r="E96" s="74"/>
      <c r="F96" s="56"/>
    </row>
    <row r="97" spans="1:8" s="46" customFormat="1" ht="26.25" hidden="1" customHeight="1" x14ac:dyDescent="0.25">
      <c r="A97" s="23" t="s">
        <v>321</v>
      </c>
      <c r="B97" s="47"/>
      <c r="C97" s="45">
        <f>SUM(C99,C100,C101,C102)+C98/2.7</f>
        <v>10687.777777777777</v>
      </c>
      <c r="D97" s="51"/>
      <c r="E97" s="51"/>
      <c r="F97" s="56"/>
    </row>
    <row r="98" spans="1:8" s="46" customFormat="1" ht="15.75" hidden="1" customHeight="1" x14ac:dyDescent="0.25">
      <c r="A98" s="23" t="s">
        <v>286</v>
      </c>
      <c r="B98" s="28"/>
      <c r="C98" s="3">
        <v>237</v>
      </c>
      <c r="D98" s="28"/>
      <c r="E98" s="28"/>
      <c r="F98" s="28"/>
    </row>
    <row r="99" spans="1:8" s="46" customFormat="1" ht="15.75" hidden="1" customHeight="1" x14ac:dyDescent="0.25">
      <c r="A99" s="48" t="s">
        <v>206</v>
      </c>
      <c r="B99" s="47"/>
      <c r="C99" s="45"/>
      <c r="D99" s="51"/>
      <c r="E99" s="51"/>
      <c r="F99" s="56"/>
    </row>
    <row r="100" spans="1:8" s="46" customFormat="1" ht="15.75" hidden="1" customHeight="1" x14ac:dyDescent="0.25">
      <c r="A100" s="48" t="s">
        <v>207</v>
      </c>
      <c r="B100" s="47"/>
      <c r="C100" s="45">
        <v>800</v>
      </c>
      <c r="D100" s="51"/>
      <c r="E100" s="51"/>
      <c r="F100" s="56"/>
    </row>
    <row r="101" spans="1:8" s="46" customFormat="1" ht="15.75" hidden="1" customHeight="1" x14ac:dyDescent="0.25">
      <c r="A101" s="48" t="s">
        <v>208</v>
      </c>
      <c r="B101" s="47"/>
      <c r="C101" s="45"/>
      <c r="D101" s="51"/>
      <c r="E101" s="51"/>
      <c r="F101" s="56"/>
    </row>
    <row r="102" spans="1:8" s="46" customFormat="1" ht="15.75" hidden="1" customHeight="1" x14ac:dyDescent="0.25">
      <c r="A102" s="23" t="s">
        <v>209</v>
      </c>
      <c r="B102" s="47"/>
      <c r="C102" s="45">
        <v>9800</v>
      </c>
      <c r="D102" s="51"/>
      <c r="E102" s="51"/>
      <c r="F102" s="56"/>
    </row>
    <row r="103" spans="1:8" s="46" customFormat="1" ht="42" hidden="1" customHeight="1" x14ac:dyDescent="0.25">
      <c r="A103" s="23" t="s">
        <v>285</v>
      </c>
      <c r="B103" s="47"/>
      <c r="C103" s="13">
        <v>4</v>
      </c>
      <c r="D103" s="45"/>
      <c r="E103" s="45"/>
      <c r="F103" s="45"/>
      <c r="G103" s="75"/>
    </row>
    <row r="104" spans="1:8" s="135" customFormat="1" hidden="1" x14ac:dyDescent="0.25">
      <c r="A104" s="24" t="s">
        <v>118</v>
      </c>
      <c r="B104" s="47"/>
      <c r="C104" s="3">
        <f>C105+C106</f>
        <v>6505.8823529411766</v>
      </c>
      <c r="D104" s="45"/>
      <c r="E104" s="45"/>
      <c r="F104" s="45"/>
    </row>
    <row r="105" spans="1:8" s="135" customFormat="1" hidden="1" x14ac:dyDescent="0.25">
      <c r="A105" s="24" t="s">
        <v>259</v>
      </c>
      <c r="B105" s="47"/>
      <c r="C105" s="45">
        <v>5000</v>
      </c>
      <c r="D105" s="139"/>
      <c r="E105" s="139"/>
      <c r="F105" s="139"/>
      <c r="G105" s="109"/>
      <c r="H105" s="109"/>
    </row>
    <row r="106" spans="1:8" s="135" customFormat="1" hidden="1" x14ac:dyDescent="0.25">
      <c r="A106" s="24" t="s">
        <v>261</v>
      </c>
      <c r="B106" s="47"/>
      <c r="C106" s="13">
        <f>C107/8.5</f>
        <v>1505.8823529411766</v>
      </c>
      <c r="D106" s="139"/>
      <c r="E106" s="139"/>
      <c r="F106" s="139"/>
      <c r="G106" s="64"/>
      <c r="H106" s="64"/>
    </row>
    <row r="107" spans="1:8" hidden="1" x14ac:dyDescent="0.25">
      <c r="A107" s="44" t="s">
        <v>260</v>
      </c>
      <c r="B107" s="47"/>
      <c r="C107" s="45">
        <v>12800</v>
      </c>
      <c r="D107" s="136"/>
      <c r="E107" s="136"/>
      <c r="F107" s="136"/>
      <c r="G107" s="110"/>
      <c r="H107" s="110"/>
    </row>
    <row r="108" spans="1:8" hidden="1" x14ac:dyDescent="0.25">
      <c r="A108" s="49" t="s">
        <v>210</v>
      </c>
      <c r="B108" s="50"/>
      <c r="C108" s="18">
        <f>C97+ROUND(C105*3.2,0)+C107/3.9</f>
        <v>29969.829059829059</v>
      </c>
      <c r="D108" s="136"/>
      <c r="E108" s="136"/>
      <c r="F108" s="136"/>
    </row>
    <row r="109" spans="1:8" hidden="1" x14ac:dyDescent="0.25">
      <c r="A109" s="21" t="s">
        <v>153</v>
      </c>
      <c r="B109" s="22"/>
      <c r="C109" s="47"/>
      <c r="D109" s="136"/>
      <c r="E109" s="136"/>
      <c r="F109" s="136"/>
    </row>
    <row r="110" spans="1:8" ht="30" hidden="1" x14ac:dyDescent="0.25">
      <c r="A110" s="23" t="s">
        <v>321</v>
      </c>
      <c r="B110" s="22"/>
      <c r="C110" s="3">
        <f>SUM(C111,C112,C119,C125,C126,C127)</f>
        <v>2768</v>
      </c>
      <c r="D110" s="136"/>
      <c r="E110" s="136"/>
      <c r="F110" s="136"/>
    </row>
    <row r="111" spans="1:8" hidden="1" x14ac:dyDescent="0.25">
      <c r="A111" s="23" t="s">
        <v>206</v>
      </c>
      <c r="B111" s="22"/>
      <c r="C111" s="3"/>
      <c r="D111" s="136"/>
      <c r="E111" s="136"/>
      <c r="F111" s="136"/>
    </row>
    <row r="112" spans="1:8" ht="30" hidden="1" x14ac:dyDescent="0.25">
      <c r="A112" s="48" t="s">
        <v>211</v>
      </c>
      <c r="B112" s="22"/>
      <c r="C112" s="3">
        <f>C113+C114+C115+C117</f>
        <v>1329</v>
      </c>
      <c r="D112" s="136"/>
      <c r="E112" s="136"/>
      <c r="F112" s="136"/>
    </row>
    <row r="113" spans="1:6" ht="30" hidden="1" x14ac:dyDescent="0.25">
      <c r="A113" s="52" t="s">
        <v>212</v>
      </c>
      <c r="B113" s="22"/>
      <c r="C113" s="42">
        <f>1340-400</f>
        <v>940</v>
      </c>
      <c r="D113" s="136"/>
      <c r="E113" s="136"/>
      <c r="F113" s="136"/>
    </row>
    <row r="114" spans="1:6" ht="30" hidden="1" x14ac:dyDescent="0.25">
      <c r="A114" s="52" t="s">
        <v>213</v>
      </c>
      <c r="B114" s="22"/>
      <c r="C114" s="42">
        <v>389</v>
      </c>
      <c r="D114" s="136"/>
      <c r="E114" s="136"/>
      <c r="F114" s="136"/>
    </row>
    <row r="115" spans="1:6" ht="45" hidden="1" x14ac:dyDescent="0.25">
      <c r="A115" s="52" t="s">
        <v>214</v>
      </c>
      <c r="B115" s="22"/>
      <c r="C115" s="42"/>
      <c r="D115" s="136"/>
      <c r="E115" s="136"/>
      <c r="F115" s="136"/>
    </row>
    <row r="116" spans="1:6" hidden="1" x14ac:dyDescent="0.25">
      <c r="A116" s="52" t="s">
        <v>215</v>
      </c>
      <c r="B116" s="22"/>
      <c r="C116" s="42"/>
      <c r="D116" s="136"/>
      <c r="E116" s="136"/>
      <c r="F116" s="136"/>
    </row>
    <row r="117" spans="1:6" ht="30" hidden="1" x14ac:dyDescent="0.25">
      <c r="A117" s="52" t="s">
        <v>216</v>
      </c>
      <c r="B117" s="22"/>
      <c r="C117" s="42"/>
      <c r="D117" s="136"/>
      <c r="E117" s="136"/>
      <c r="F117" s="136"/>
    </row>
    <row r="118" spans="1:6" hidden="1" x14ac:dyDescent="0.25">
      <c r="A118" s="52" t="s">
        <v>215</v>
      </c>
      <c r="B118" s="22"/>
      <c r="C118" s="42"/>
      <c r="D118" s="136"/>
      <c r="E118" s="136"/>
      <c r="F118" s="136"/>
    </row>
    <row r="119" spans="1:6" ht="45" hidden="1" x14ac:dyDescent="0.25">
      <c r="A119" s="48" t="s">
        <v>217</v>
      </c>
      <c r="B119" s="22"/>
      <c r="C119" s="42">
        <f>C120+C121+C123+C125</f>
        <v>1439</v>
      </c>
      <c r="D119" s="136"/>
      <c r="E119" s="136"/>
      <c r="F119" s="136"/>
    </row>
    <row r="120" spans="1:6" ht="30" hidden="1" x14ac:dyDescent="0.25">
      <c r="A120" s="52" t="s">
        <v>218</v>
      </c>
      <c r="B120" s="22"/>
      <c r="C120" s="3">
        <f>1039+400</f>
        <v>1439</v>
      </c>
      <c r="D120" s="136"/>
      <c r="E120" s="136"/>
      <c r="F120" s="136"/>
    </row>
    <row r="121" spans="1:6" ht="60" hidden="1" x14ac:dyDescent="0.25">
      <c r="A121" s="52" t="s">
        <v>219</v>
      </c>
      <c r="B121" s="22"/>
      <c r="C121" s="42"/>
      <c r="D121" s="136"/>
      <c r="E121" s="136"/>
      <c r="F121" s="136"/>
    </row>
    <row r="122" spans="1:6" hidden="1" x14ac:dyDescent="0.25">
      <c r="A122" s="52" t="s">
        <v>215</v>
      </c>
      <c r="B122" s="22"/>
      <c r="C122" s="42"/>
      <c r="D122" s="136"/>
      <c r="E122" s="136"/>
      <c r="F122" s="136"/>
    </row>
    <row r="123" spans="1:6" ht="45" hidden="1" x14ac:dyDescent="0.25">
      <c r="A123" s="52" t="s">
        <v>220</v>
      </c>
      <c r="B123" s="22"/>
      <c r="C123" s="42"/>
      <c r="D123" s="136"/>
      <c r="E123" s="136"/>
      <c r="F123" s="136"/>
    </row>
    <row r="124" spans="1:6" hidden="1" x14ac:dyDescent="0.25">
      <c r="A124" s="52" t="s">
        <v>215</v>
      </c>
      <c r="B124" s="22"/>
      <c r="C124" s="42"/>
      <c r="D124" s="136"/>
      <c r="E124" s="136"/>
      <c r="F124" s="136"/>
    </row>
    <row r="125" spans="1:6" ht="45" hidden="1" x14ac:dyDescent="0.25">
      <c r="A125" s="48" t="s">
        <v>221</v>
      </c>
      <c r="B125" s="22"/>
      <c r="C125" s="42"/>
      <c r="D125" s="136"/>
      <c r="E125" s="136"/>
      <c r="F125" s="136"/>
    </row>
    <row r="126" spans="1:6" ht="30" hidden="1" x14ac:dyDescent="0.25">
      <c r="A126" s="48" t="s">
        <v>222</v>
      </c>
      <c r="B126" s="22"/>
      <c r="C126" s="42"/>
      <c r="D126" s="136"/>
      <c r="E126" s="136"/>
      <c r="F126" s="136"/>
    </row>
    <row r="127" spans="1:6" hidden="1" x14ac:dyDescent="0.25">
      <c r="A127" s="23" t="s">
        <v>223</v>
      </c>
      <c r="B127" s="22"/>
      <c r="C127" s="42"/>
      <c r="D127" s="136"/>
      <c r="E127" s="136"/>
      <c r="F127" s="136"/>
    </row>
    <row r="128" spans="1:6" hidden="1" x14ac:dyDescent="0.25">
      <c r="A128" s="24" t="s">
        <v>118</v>
      </c>
      <c r="B128" s="47"/>
      <c r="C128" s="42"/>
      <c r="D128" s="136"/>
      <c r="E128" s="136"/>
      <c r="F128" s="136"/>
    </row>
    <row r="129" spans="1:158" hidden="1" x14ac:dyDescent="0.25">
      <c r="A129" s="44" t="s">
        <v>150</v>
      </c>
      <c r="B129" s="47"/>
      <c r="C129" s="3"/>
      <c r="D129" s="136"/>
      <c r="E129" s="136"/>
      <c r="F129" s="136"/>
    </row>
    <row r="130" spans="1:158" s="135" customFormat="1" ht="30.75" hidden="1" customHeight="1" x14ac:dyDescent="0.25">
      <c r="A130" s="24" t="s">
        <v>119</v>
      </c>
      <c r="B130" s="22"/>
      <c r="C130" s="3">
        <f>720-C132</f>
        <v>420</v>
      </c>
      <c r="D130" s="45"/>
      <c r="E130" s="45"/>
      <c r="F130" s="45"/>
    </row>
    <row r="131" spans="1:158" s="46" customFormat="1" ht="15.75" hidden="1" customHeight="1" x14ac:dyDescent="0.25">
      <c r="A131" s="137" t="s">
        <v>224</v>
      </c>
      <c r="B131" s="22"/>
      <c r="C131" s="3"/>
      <c r="D131" s="51"/>
      <c r="E131" s="51"/>
      <c r="F131" s="56"/>
      <c r="G131" s="98"/>
    </row>
    <row r="132" spans="1:158" s="46" customFormat="1" ht="44.25" hidden="1" customHeight="1" x14ac:dyDescent="0.25">
      <c r="A132" s="53" t="s">
        <v>296</v>
      </c>
      <c r="B132" s="22"/>
      <c r="C132" s="3">
        <v>300</v>
      </c>
      <c r="D132" s="51"/>
      <c r="E132" s="51"/>
      <c r="F132" s="56"/>
      <c r="G132" s="98"/>
    </row>
    <row r="133" spans="1:158" s="46" customFormat="1" hidden="1" x14ac:dyDescent="0.25">
      <c r="A133" s="54" t="s">
        <v>152</v>
      </c>
      <c r="B133" s="22"/>
      <c r="C133" s="18">
        <f>C110+ROUND(C128*3.2,0)+C130+C132</f>
        <v>3488</v>
      </c>
      <c r="D133" s="51"/>
      <c r="E133" s="51"/>
      <c r="F133" s="56"/>
      <c r="G133" s="98"/>
    </row>
    <row r="134" spans="1:158" s="46" customFormat="1" ht="29.25" hidden="1" x14ac:dyDescent="0.25">
      <c r="A134" s="55" t="s">
        <v>151</v>
      </c>
      <c r="B134" s="22"/>
      <c r="C134" s="18">
        <f>SUM(C108,C133)</f>
        <v>33457.829059829062</v>
      </c>
      <c r="D134" s="51"/>
      <c r="E134" s="51"/>
      <c r="F134" s="56"/>
    </row>
    <row r="135" spans="1:158" s="46" customFormat="1" ht="15" hidden="1" customHeight="1" x14ac:dyDescent="0.25">
      <c r="A135" s="25" t="s">
        <v>120</v>
      </c>
      <c r="B135" s="22"/>
      <c r="C135" s="202">
        <f>C136</f>
        <v>100</v>
      </c>
      <c r="D135" s="51"/>
      <c r="E135" s="51"/>
      <c r="F135" s="56"/>
    </row>
    <row r="136" spans="1:158" s="46" customFormat="1" ht="15" hidden="1" customHeight="1" x14ac:dyDescent="0.25">
      <c r="A136" s="26" t="s">
        <v>19</v>
      </c>
      <c r="B136" s="22"/>
      <c r="C136" s="3">
        <v>100</v>
      </c>
      <c r="D136" s="51"/>
      <c r="E136" s="51"/>
      <c r="F136" s="56"/>
    </row>
    <row r="137" spans="1:158" s="131" customFormat="1" hidden="1" x14ac:dyDescent="0.25">
      <c r="A137" s="43" t="s">
        <v>7</v>
      </c>
      <c r="B137" s="172"/>
      <c r="C137" s="45"/>
      <c r="D137" s="100"/>
      <c r="E137" s="100"/>
      <c r="F137" s="4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35"/>
      <c r="AE137" s="135"/>
      <c r="AF137" s="135"/>
      <c r="AG137" s="135"/>
      <c r="AH137" s="135"/>
      <c r="AI137" s="135"/>
      <c r="AJ137" s="135"/>
      <c r="AK137" s="135"/>
      <c r="AL137" s="135"/>
      <c r="AM137" s="135"/>
      <c r="AN137" s="135"/>
      <c r="AO137" s="135"/>
      <c r="AP137" s="135"/>
      <c r="AQ137" s="135"/>
      <c r="AR137" s="135"/>
      <c r="AS137" s="135"/>
      <c r="AT137" s="135"/>
      <c r="AU137" s="135"/>
      <c r="AV137" s="135"/>
      <c r="AW137" s="135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  <c r="BI137" s="135"/>
      <c r="BJ137" s="135"/>
      <c r="BK137" s="135"/>
      <c r="BL137" s="135"/>
      <c r="BM137" s="135"/>
      <c r="BN137" s="135"/>
      <c r="BO137" s="135"/>
      <c r="BP137" s="135"/>
      <c r="BQ137" s="135"/>
      <c r="BR137" s="135"/>
      <c r="BS137" s="135"/>
      <c r="BT137" s="135"/>
      <c r="BU137" s="135"/>
      <c r="BV137" s="135"/>
      <c r="BW137" s="135"/>
      <c r="BX137" s="135"/>
      <c r="BY137" s="135"/>
      <c r="BZ137" s="135"/>
      <c r="CA137" s="135"/>
      <c r="CB137" s="135"/>
      <c r="CC137" s="135"/>
      <c r="CD137" s="135"/>
      <c r="CE137" s="135"/>
      <c r="CF137" s="135"/>
      <c r="CG137" s="135"/>
      <c r="CH137" s="135"/>
      <c r="CI137" s="135"/>
      <c r="CJ137" s="135"/>
      <c r="CK137" s="135"/>
      <c r="CL137" s="135"/>
      <c r="CM137" s="135"/>
      <c r="CN137" s="135"/>
      <c r="CO137" s="135"/>
      <c r="CP137" s="135"/>
      <c r="CQ137" s="135"/>
      <c r="CR137" s="135"/>
      <c r="CS137" s="135"/>
      <c r="CT137" s="135"/>
      <c r="CU137" s="135"/>
      <c r="CV137" s="135"/>
      <c r="CW137" s="135"/>
      <c r="CX137" s="135"/>
      <c r="CY137" s="135"/>
      <c r="CZ137" s="135"/>
      <c r="DA137" s="135"/>
      <c r="DB137" s="135"/>
      <c r="DC137" s="135"/>
      <c r="DD137" s="135"/>
      <c r="DE137" s="135"/>
      <c r="DF137" s="135"/>
      <c r="DG137" s="135"/>
      <c r="DH137" s="135"/>
      <c r="DI137" s="135"/>
      <c r="DJ137" s="135"/>
      <c r="DK137" s="135"/>
      <c r="DL137" s="135"/>
      <c r="DM137" s="135"/>
      <c r="DN137" s="135"/>
      <c r="DO137" s="135"/>
      <c r="DP137" s="135"/>
      <c r="DQ137" s="135"/>
      <c r="DR137" s="135"/>
      <c r="DS137" s="135"/>
      <c r="DT137" s="135"/>
      <c r="DU137" s="135"/>
      <c r="DV137" s="135"/>
      <c r="DW137" s="135"/>
      <c r="DX137" s="135"/>
      <c r="DY137" s="135"/>
      <c r="DZ137" s="135"/>
      <c r="EA137" s="135"/>
      <c r="EB137" s="135"/>
      <c r="EC137" s="135"/>
      <c r="ED137" s="135"/>
      <c r="EE137" s="135"/>
      <c r="EF137" s="135"/>
      <c r="EG137" s="135"/>
      <c r="EH137" s="135"/>
      <c r="EI137" s="135"/>
      <c r="EJ137" s="135"/>
      <c r="EK137" s="135"/>
      <c r="EL137" s="135"/>
      <c r="EM137" s="135"/>
      <c r="EN137" s="135"/>
      <c r="EO137" s="135"/>
      <c r="EP137" s="135"/>
      <c r="EQ137" s="135"/>
      <c r="ER137" s="135"/>
      <c r="ES137" s="135"/>
      <c r="ET137" s="135"/>
      <c r="EU137" s="135"/>
      <c r="EV137" s="135"/>
      <c r="EW137" s="135"/>
      <c r="EX137" s="135"/>
      <c r="EY137" s="135"/>
      <c r="EZ137" s="135"/>
      <c r="FA137" s="135"/>
      <c r="FB137" s="135"/>
    </row>
    <row r="138" spans="1:158" s="131" customFormat="1" hidden="1" x14ac:dyDescent="0.25">
      <c r="A138" s="43" t="s">
        <v>139</v>
      </c>
      <c r="B138" s="172"/>
      <c r="C138" s="45"/>
      <c r="D138" s="100"/>
      <c r="E138" s="100"/>
      <c r="F138" s="4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  <c r="AF138" s="135"/>
      <c r="AG138" s="135"/>
      <c r="AH138" s="135"/>
      <c r="AI138" s="135"/>
      <c r="AJ138" s="135"/>
      <c r="AK138" s="135"/>
      <c r="AL138" s="135"/>
      <c r="AM138" s="135"/>
      <c r="AN138" s="135"/>
      <c r="AO138" s="135"/>
      <c r="AP138" s="135"/>
      <c r="AQ138" s="135"/>
      <c r="AR138" s="135"/>
      <c r="AS138" s="135"/>
      <c r="AT138" s="135"/>
      <c r="AU138" s="135"/>
      <c r="AV138" s="135"/>
      <c r="AW138" s="135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  <c r="BM138" s="135"/>
      <c r="BN138" s="135"/>
      <c r="BO138" s="135"/>
      <c r="BP138" s="135"/>
      <c r="BQ138" s="135"/>
      <c r="BR138" s="135"/>
      <c r="BS138" s="135"/>
      <c r="BT138" s="135"/>
      <c r="BU138" s="135"/>
      <c r="BV138" s="135"/>
      <c r="BW138" s="135"/>
      <c r="BX138" s="135"/>
      <c r="BY138" s="135"/>
      <c r="BZ138" s="135"/>
      <c r="CA138" s="135"/>
      <c r="CB138" s="135"/>
      <c r="CC138" s="135"/>
      <c r="CD138" s="135"/>
      <c r="CE138" s="135"/>
      <c r="CF138" s="135"/>
      <c r="CG138" s="135"/>
      <c r="CH138" s="135"/>
      <c r="CI138" s="135"/>
      <c r="CJ138" s="135"/>
      <c r="CK138" s="135"/>
      <c r="CL138" s="135"/>
      <c r="CM138" s="135"/>
      <c r="CN138" s="135"/>
      <c r="CO138" s="135"/>
      <c r="CP138" s="135"/>
      <c r="CQ138" s="135"/>
      <c r="CR138" s="135"/>
      <c r="CS138" s="135"/>
      <c r="CT138" s="135"/>
      <c r="CU138" s="135"/>
      <c r="CV138" s="135"/>
      <c r="CW138" s="135"/>
      <c r="CX138" s="135"/>
      <c r="CY138" s="135"/>
      <c r="CZ138" s="135"/>
      <c r="DA138" s="135"/>
      <c r="DB138" s="135"/>
      <c r="DC138" s="135"/>
      <c r="DD138" s="135"/>
      <c r="DE138" s="135"/>
      <c r="DF138" s="135"/>
      <c r="DG138" s="135"/>
      <c r="DH138" s="135"/>
      <c r="DI138" s="135"/>
      <c r="DJ138" s="135"/>
      <c r="DK138" s="135"/>
      <c r="DL138" s="135"/>
      <c r="DM138" s="135"/>
      <c r="DN138" s="135"/>
      <c r="DO138" s="135"/>
      <c r="DP138" s="135"/>
      <c r="DQ138" s="135"/>
      <c r="DR138" s="135"/>
      <c r="DS138" s="135"/>
      <c r="DT138" s="135"/>
      <c r="DU138" s="135"/>
      <c r="DV138" s="135"/>
      <c r="DW138" s="135"/>
      <c r="DX138" s="135"/>
      <c r="DY138" s="135"/>
      <c r="DZ138" s="135"/>
      <c r="EA138" s="135"/>
      <c r="EB138" s="135"/>
      <c r="EC138" s="135"/>
      <c r="ED138" s="135"/>
      <c r="EE138" s="135"/>
      <c r="EF138" s="135"/>
      <c r="EG138" s="135"/>
      <c r="EH138" s="135"/>
      <c r="EI138" s="135"/>
      <c r="EJ138" s="135"/>
      <c r="EK138" s="135"/>
      <c r="EL138" s="135"/>
      <c r="EM138" s="135"/>
      <c r="EN138" s="135"/>
      <c r="EO138" s="135"/>
      <c r="EP138" s="135"/>
      <c r="EQ138" s="135"/>
      <c r="ER138" s="135"/>
      <c r="ES138" s="135"/>
      <c r="ET138" s="135"/>
      <c r="EU138" s="135"/>
      <c r="EV138" s="135"/>
      <c r="EW138" s="135"/>
      <c r="EX138" s="135"/>
      <c r="EY138" s="135"/>
      <c r="EZ138" s="135"/>
      <c r="FA138" s="135"/>
      <c r="FB138" s="135"/>
    </row>
    <row r="139" spans="1:158" s="131" customFormat="1" hidden="1" x14ac:dyDescent="0.25">
      <c r="A139" s="29" t="s">
        <v>11</v>
      </c>
      <c r="B139" s="79">
        <v>300</v>
      </c>
      <c r="C139" s="51">
        <v>170</v>
      </c>
      <c r="D139" s="160">
        <v>9</v>
      </c>
      <c r="E139" s="100">
        <f>ROUND(F139/B139,0)</f>
        <v>5</v>
      </c>
      <c r="F139" s="3">
        <f>ROUND(C139*D139,0)</f>
        <v>1530</v>
      </c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35"/>
      <c r="AE139" s="135"/>
      <c r="AF139" s="135"/>
      <c r="AG139" s="135"/>
      <c r="AH139" s="135"/>
      <c r="AI139" s="135"/>
      <c r="AJ139" s="135"/>
      <c r="AK139" s="135"/>
      <c r="AL139" s="135"/>
      <c r="AM139" s="135"/>
      <c r="AN139" s="135"/>
      <c r="AO139" s="135"/>
      <c r="AP139" s="135"/>
      <c r="AQ139" s="135"/>
      <c r="AR139" s="135"/>
      <c r="AS139" s="135"/>
      <c r="AT139" s="135"/>
      <c r="AU139" s="135"/>
      <c r="AV139" s="135"/>
      <c r="AW139" s="135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  <c r="BM139" s="135"/>
      <c r="BN139" s="135"/>
      <c r="BO139" s="135"/>
      <c r="BP139" s="135"/>
      <c r="BQ139" s="135"/>
      <c r="BR139" s="135"/>
      <c r="BS139" s="135"/>
      <c r="BT139" s="135"/>
      <c r="BU139" s="135"/>
      <c r="BV139" s="135"/>
      <c r="BW139" s="135"/>
      <c r="BX139" s="135"/>
      <c r="BY139" s="135"/>
      <c r="BZ139" s="135"/>
      <c r="CA139" s="135"/>
      <c r="CB139" s="135"/>
      <c r="CC139" s="135"/>
      <c r="CD139" s="135"/>
      <c r="CE139" s="135"/>
      <c r="CF139" s="135"/>
      <c r="CG139" s="135"/>
      <c r="CH139" s="135"/>
      <c r="CI139" s="135"/>
      <c r="CJ139" s="135"/>
      <c r="CK139" s="135"/>
      <c r="CL139" s="135"/>
      <c r="CM139" s="135"/>
      <c r="CN139" s="135"/>
      <c r="CO139" s="135"/>
      <c r="CP139" s="135"/>
      <c r="CQ139" s="135"/>
      <c r="CR139" s="135"/>
      <c r="CS139" s="135"/>
      <c r="CT139" s="135"/>
      <c r="CU139" s="135"/>
      <c r="CV139" s="135"/>
      <c r="CW139" s="135"/>
      <c r="CX139" s="135"/>
      <c r="CY139" s="135"/>
      <c r="CZ139" s="135"/>
      <c r="DA139" s="135"/>
      <c r="DB139" s="135"/>
      <c r="DC139" s="135"/>
      <c r="DD139" s="135"/>
      <c r="DE139" s="135"/>
      <c r="DF139" s="135"/>
      <c r="DG139" s="135"/>
      <c r="DH139" s="135"/>
      <c r="DI139" s="135"/>
      <c r="DJ139" s="135"/>
      <c r="DK139" s="135"/>
      <c r="DL139" s="135"/>
      <c r="DM139" s="135"/>
      <c r="DN139" s="135"/>
      <c r="DO139" s="135"/>
      <c r="DP139" s="135"/>
      <c r="DQ139" s="135"/>
      <c r="DR139" s="135"/>
      <c r="DS139" s="135"/>
      <c r="DT139" s="135"/>
      <c r="DU139" s="135"/>
      <c r="DV139" s="135"/>
      <c r="DW139" s="135"/>
      <c r="DX139" s="135"/>
      <c r="DY139" s="135"/>
      <c r="DZ139" s="135"/>
      <c r="EA139" s="135"/>
      <c r="EB139" s="135"/>
      <c r="EC139" s="135"/>
      <c r="ED139" s="135"/>
      <c r="EE139" s="135"/>
      <c r="EF139" s="135"/>
      <c r="EG139" s="135"/>
      <c r="EH139" s="135"/>
      <c r="EI139" s="135"/>
      <c r="EJ139" s="135"/>
      <c r="EK139" s="135"/>
      <c r="EL139" s="135"/>
      <c r="EM139" s="135"/>
      <c r="EN139" s="135"/>
      <c r="EO139" s="135"/>
      <c r="EP139" s="135"/>
      <c r="EQ139" s="135"/>
      <c r="ER139" s="135"/>
      <c r="ES139" s="135"/>
      <c r="ET139" s="135"/>
      <c r="EU139" s="135"/>
      <c r="EV139" s="135"/>
      <c r="EW139" s="135"/>
      <c r="EX139" s="135"/>
      <c r="EY139" s="135"/>
      <c r="EZ139" s="135"/>
      <c r="FA139" s="135"/>
      <c r="FB139" s="135"/>
    </row>
    <row r="140" spans="1:158" s="131" customFormat="1" hidden="1" x14ac:dyDescent="0.25">
      <c r="A140" s="30" t="s">
        <v>138</v>
      </c>
      <c r="B140" s="159">
        <v>300</v>
      </c>
      <c r="C140" s="162">
        <v>20</v>
      </c>
      <c r="D140" s="163">
        <v>10</v>
      </c>
      <c r="E140" s="100">
        <f t="shared" ref="E140" si="8">ROUND(F140/B140,0)</f>
        <v>1</v>
      </c>
      <c r="F140" s="3">
        <f t="shared" ref="F140" si="9">ROUND(C140*D140,0)</f>
        <v>200</v>
      </c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35"/>
      <c r="AE140" s="135"/>
      <c r="AF140" s="135"/>
      <c r="AG140" s="135"/>
      <c r="AH140" s="135"/>
      <c r="AI140" s="135"/>
      <c r="AJ140" s="135"/>
      <c r="AK140" s="135"/>
      <c r="AL140" s="135"/>
      <c r="AM140" s="135"/>
      <c r="AN140" s="135"/>
      <c r="AO140" s="135"/>
      <c r="AP140" s="135"/>
      <c r="AQ140" s="135"/>
      <c r="AR140" s="135"/>
      <c r="AS140" s="135"/>
      <c r="AT140" s="135"/>
      <c r="AU140" s="135"/>
      <c r="AV140" s="135"/>
      <c r="AW140" s="135"/>
      <c r="AX140" s="135"/>
      <c r="AY140" s="135"/>
      <c r="AZ140" s="135"/>
      <c r="BA140" s="135"/>
      <c r="BB140" s="135"/>
      <c r="BC140" s="135"/>
      <c r="BD140" s="135"/>
      <c r="BE140" s="135"/>
      <c r="BF140" s="135"/>
      <c r="BG140" s="135"/>
      <c r="BH140" s="135"/>
      <c r="BI140" s="135"/>
      <c r="BJ140" s="135"/>
      <c r="BK140" s="135"/>
      <c r="BL140" s="135"/>
      <c r="BM140" s="135"/>
      <c r="BN140" s="135"/>
      <c r="BO140" s="135"/>
      <c r="BP140" s="135"/>
      <c r="BQ140" s="135"/>
      <c r="BR140" s="135"/>
      <c r="BS140" s="135"/>
      <c r="BT140" s="135"/>
      <c r="BU140" s="135"/>
      <c r="BV140" s="135"/>
      <c r="BW140" s="135"/>
      <c r="BX140" s="135"/>
      <c r="BY140" s="135"/>
      <c r="BZ140" s="135"/>
      <c r="CA140" s="135"/>
      <c r="CB140" s="135"/>
      <c r="CC140" s="135"/>
      <c r="CD140" s="135"/>
      <c r="CE140" s="135"/>
      <c r="CF140" s="135"/>
      <c r="CG140" s="135"/>
      <c r="CH140" s="135"/>
      <c r="CI140" s="135"/>
      <c r="CJ140" s="135"/>
      <c r="CK140" s="135"/>
      <c r="CL140" s="135"/>
      <c r="CM140" s="135"/>
      <c r="CN140" s="135"/>
      <c r="CO140" s="135"/>
      <c r="CP140" s="135"/>
      <c r="CQ140" s="135"/>
      <c r="CR140" s="135"/>
      <c r="CS140" s="135"/>
      <c r="CT140" s="135"/>
      <c r="CU140" s="135"/>
      <c r="CV140" s="135"/>
      <c r="CW140" s="135"/>
      <c r="CX140" s="135"/>
      <c r="CY140" s="135"/>
      <c r="CZ140" s="135"/>
      <c r="DA140" s="135"/>
      <c r="DB140" s="135"/>
      <c r="DC140" s="135"/>
      <c r="DD140" s="135"/>
      <c r="DE140" s="135"/>
      <c r="DF140" s="135"/>
      <c r="DG140" s="135"/>
      <c r="DH140" s="135"/>
      <c r="DI140" s="135"/>
      <c r="DJ140" s="135"/>
      <c r="DK140" s="135"/>
      <c r="DL140" s="135"/>
      <c r="DM140" s="135"/>
      <c r="DN140" s="135"/>
      <c r="DO140" s="135"/>
      <c r="DP140" s="135"/>
      <c r="DQ140" s="135"/>
      <c r="DR140" s="135"/>
      <c r="DS140" s="135"/>
      <c r="DT140" s="135"/>
      <c r="DU140" s="135"/>
      <c r="DV140" s="135"/>
      <c r="DW140" s="135"/>
      <c r="DX140" s="135"/>
      <c r="DY140" s="135"/>
      <c r="DZ140" s="135"/>
      <c r="EA140" s="135"/>
      <c r="EB140" s="135"/>
      <c r="EC140" s="135"/>
      <c r="ED140" s="135"/>
      <c r="EE140" s="135"/>
      <c r="EF140" s="135"/>
      <c r="EG140" s="135"/>
      <c r="EH140" s="135"/>
      <c r="EI140" s="135"/>
      <c r="EJ140" s="135"/>
      <c r="EK140" s="135"/>
      <c r="EL140" s="135"/>
      <c r="EM140" s="135"/>
      <c r="EN140" s="135"/>
      <c r="EO140" s="135"/>
      <c r="EP140" s="135"/>
      <c r="EQ140" s="135"/>
      <c r="ER140" s="135"/>
      <c r="ES140" s="135"/>
      <c r="ET140" s="135"/>
      <c r="EU140" s="135"/>
      <c r="EV140" s="135"/>
      <c r="EW140" s="135"/>
      <c r="EX140" s="135"/>
      <c r="EY140" s="135"/>
      <c r="EZ140" s="135"/>
      <c r="FA140" s="135"/>
      <c r="FB140" s="135"/>
    </row>
    <row r="141" spans="1:158" s="131" customFormat="1" hidden="1" x14ac:dyDescent="0.25">
      <c r="A141" s="34" t="s">
        <v>9</v>
      </c>
      <c r="B141" s="84"/>
      <c r="C141" s="93">
        <f>C139+C140</f>
        <v>190</v>
      </c>
      <c r="D141" s="173">
        <f>F141/C141</f>
        <v>9.1052631578947363</v>
      </c>
      <c r="E141" s="93">
        <f t="shared" ref="E141:F141" si="10">E139+E140</f>
        <v>6</v>
      </c>
      <c r="F141" s="93">
        <f t="shared" si="10"/>
        <v>1730</v>
      </c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  <c r="AB141" s="135"/>
      <c r="AC141" s="135"/>
      <c r="AD141" s="135"/>
      <c r="AE141" s="135"/>
      <c r="AF141" s="135"/>
      <c r="AG141" s="135"/>
      <c r="AH141" s="135"/>
      <c r="AI141" s="135"/>
      <c r="AJ141" s="135"/>
      <c r="AK141" s="135"/>
      <c r="AL141" s="135"/>
      <c r="AM141" s="135"/>
      <c r="AN141" s="135"/>
      <c r="AO141" s="135"/>
      <c r="AP141" s="135"/>
      <c r="AQ141" s="135"/>
      <c r="AR141" s="135"/>
      <c r="AS141" s="135"/>
      <c r="AT141" s="135"/>
      <c r="AU141" s="135"/>
      <c r="AV141" s="135"/>
      <c r="AW141" s="135"/>
      <c r="AX141" s="135"/>
      <c r="AY141" s="135"/>
      <c r="AZ141" s="135"/>
      <c r="BA141" s="135"/>
      <c r="BB141" s="135"/>
      <c r="BC141" s="135"/>
      <c r="BD141" s="135"/>
      <c r="BE141" s="135"/>
      <c r="BF141" s="135"/>
      <c r="BG141" s="135"/>
      <c r="BH141" s="135"/>
      <c r="BI141" s="135"/>
      <c r="BJ141" s="135"/>
      <c r="BK141" s="135"/>
      <c r="BL141" s="135"/>
      <c r="BM141" s="135"/>
      <c r="BN141" s="135"/>
      <c r="BO141" s="135"/>
      <c r="BP141" s="135"/>
      <c r="BQ141" s="135"/>
      <c r="BR141" s="135"/>
      <c r="BS141" s="135"/>
      <c r="BT141" s="135"/>
      <c r="BU141" s="135"/>
      <c r="BV141" s="135"/>
      <c r="BW141" s="135"/>
      <c r="BX141" s="135"/>
      <c r="BY141" s="135"/>
      <c r="BZ141" s="135"/>
      <c r="CA141" s="135"/>
      <c r="CB141" s="135"/>
      <c r="CC141" s="135"/>
      <c r="CD141" s="135"/>
      <c r="CE141" s="135"/>
      <c r="CF141" s="135"/>
      <c r="CG141" s="135"/>
      <c r="CH141" s="135"/>
      <c r="CI141" s="135"/>
      <c r="CJ141" s="135"/>
      <c r="CK141" s="135"/>
      <c r="CL141" s="135"/>
      <c r="CM141" s="135"/>
      <c r="CN141" s="135"/>
      <c r="CO141" s="135"/>
      <c r="CP141" s="135"/>
      <c r="CQ141" s="135"/>
      <c r="CR141" s="135"/>
      <c r="CS141" s="135"/>
      <c r="CT141" s="135"/>
      <c r="CU141" s="135"/>
      <c r="CV141" s="135"/>
      <c r="CW141" s="135"/>
      <c r="CX141" s="135"/>
      <c r="CY141" s="135"/>
      <c r="CZ141" s="135"/>
      <c r="DA141" s="135"/>
      <c r="DB141" s="135"/>
      <c r="DC141" s="135"/>
      <c r="DD141" s="135"/>
      <c r="DE141" s="135"/>
      <c r="DF141" s="135"/>
      <c r="DG141" s="135"/>
      <c r="DH141" s="135"/>
      <c r="DI141" s="135"/>
      <c r="DJ141" s="135"/>
      <c r="DK141" s="135"/>
      <c r="DL141" s="135"/>
      <c r="DM141" s="135"/>
      <c r="DN141" s="135"/>
      <c r="DO141" s="135"/>
      <c r="DP141" s="135"/>
      <c r="DQ141" s="135"/>
      <c r="DR141" s="135"/>
      <c r="DS141" s="135"/>
      <c r="DT141" s="135"/>
      <c r="DU141" s="135"/>
      <c r="DV141" s="135"/>
      <c r="DW141" s="135"/>
      <c r="DX141" s="135"/>
      <c r="DY141" s="135"/>
      <c r="DZ141" s="135"/>
      <c r="EA141" s="135"/>
      <c r="EB141" s="135"/>
      <c r="EC141" s="135"/>
      <c r="ED141" s="135"/>
      <c r="EE141" s="135"/>
      <c r="EF141" s="135"/>
      <c r="EG141" s="135"/>
      <c r="EH141" s="135"/>
      <c r="EI141" s="135"/>
      <c r="EJ141" s="135"/>
      <c r="EK141" s="135"/>
      <c r="EL141" s="135"/>
      <c r="EM141" s="135"/>
      <c r="EN141" s="135"/>
      <c r="EO141" s="135"/>
      <c r="EP141" s="135"/>
      <c r="EQ141" s="135"/>
      <c r="ER141" s="135"/>
      <c r="ES141" s="135"/>
      <c r="ET141" s="135"/>
      <c r="EU141" s="135"/>
      <c r="EV141" s="135"/>
      <c r="EW141" s="135"/>
      <c r="EX141" s="135"/>
      <c r="EY141" s="135"/>
      <c r="EZ141" s="135"/>
      <c r="FA141" s="135"/>
      <c r="FB141" s="135"/>
    </row>
    <row r="142" spans="1:158" s="131" customFormat="1" hidden="1" x14ac:dyDescent="0.25">
      <c r="A142" s="43" t="s">
        <v>76</v>
      </c>
      <c r="B142" s="84"/>
      <c r="C142" s="93"/>
      <c r="D142" s="165"/>
      <c r="E142" s="101"/>
      <c r="F142" s="93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/>
      <c r="AB142" s="135"/>
      <c r="AC142" s="135"/>
      <c r="AD142" s="135"/>
      <c r="AE142" s="135"/>
      <c r="AF142" s="135"/>
      <c r="AG142" s="135"/>
      <c r="AH142" s="135"/>
      <c r="AI142" s="135"/>
      <c r="AJ142" s="135"/>
      <c r="AK142" s="135"/>
      <c r="AL142" s="135"/>
      <c r="AM142" s="135"/>
      <c r="AN142" s="135"/>
      <c r="AO142" s="135"/>
      <c r="AP142" s="135"/>
      <c r="AQ142" s="135"/>
      <c r="AR142" s="135"/>
      <c r="AS142" s="135"/>
      <c r="AT142" s="135"/>
      <c r="AU142" s="135"/>
      <c r="AV142" s="135"/>
      <c r="AW142" s="135"/>
      <c r="AX142" s="135"/>
      <c r="AY142" s="135"/>
      <c r="AZ142" s="135"/>
      <c r="BA142" s="135"/>
      <c r="BB142" s="135"/>
      <c r="BC142" s="135"/>
      <c r="BD142" s="135"/>
      <c r="BE142" s="135"/>
      <c r="BF142" s="135"/>
      <c r="BG142" s="135"/>
      <c r="BH142" s="135"/>
      <c r="BI142" s="135"/>
      <c r="BJ142" s="135"/>
      <c r="BK142" s="135"/>
      <c r="BL142" s="135"/>
      <c r="BM142" s="135"/>
      <c r="BN142" s="135"/>
      <c r="BO142" s="135"/>
      <c r="BP142" s="135"/>
      <c r="BQ142" s="135"/>
      <c r="BR142" s="135"/>
      <c r="BS142" s="135"/>
      <c r="BT142" s="135"/>
      <c r="BU142" s="135"/>
      <c r="BV142" s="135"/>
      <c r="BW142" s="135"/>
      <c r="BX142" s="135"/>
      <c r="BY142" s="135"/>
      <c r="BZ142" s="135"/>
      <c r="CA142" s="135"/>
      <c r="CB142" s="135"/>
      <c r="CC142" s="135"/>
      <c r="CD142" s="135"/>
      <c r="CE142" s="135"/>
      <c r="CF142" s="135"/>
      <c r="CG142" s="135"/>
      <c r="CH142" s="135"/>
      <c r="CI142" s="135"/>
      <c r="CJ142" s="135"/>
      <c r="CK142" s="135"/>
      <c r="CL142" s="135"/>
      <c r="CM142" s="135"/>
      <c r="CN142" s="135"/>
      <c r="CO142" s="135"/>
      <c r="CP142" s="135"/>
      <c r="CQ142" s="135"/>
      <c r="CR142" s="135"/>
      <c r="CS142" s="135"/>
      <c r="CT142" s="135"/>
      <c r="CU142" s="135"/>
      <c r="CV142" s="135"/>
      <c r="CW142" s="135"/>
      <c r="CX142" s="135"/>
      <c r="CY142" s="135"/>
      <c r="CZ142" s="135"/>
      <c r="DA142" s="135"/>
      <c r="DB142" s="135"/>
      <c r="DC142" s="135"/>
      <c r="DD142" s="135"/>
      <c r="DE142" s="135"/>
      <c r="DF142" s="135"/>
      <c r="DG142" s="135"/>
      <c r="DH142" s="135"/>
      <c r="DI142" s="135"/>
      <c r="DJ142" s="135"/>
      <c r="DK142" s="135"/>
      <c r="DL142" s="135"/>
      <c r="DM142" s="135"/>
      <c r="DN142" s="135"/>
      <c r="DO142" s="135"/>
      <c r="DP142" s="135"/>
      <c r="DQ142" s="135"/>
      <c r="DR142" s="135"/>
      <c r="DS142" s="135"/>
      <c r="DT142" s="135"/>
      <c r="DU142" s="135"/>
      <c r="DV142" s="135"/>
      <c r="DW142" s="135"/>
      <c r="DX142" s="135"/>
      <c r="DY142" s="135"/>
      <c r="DZ142" s="135"/>
      <c r="EA142" s="135"/>
      <c r="EB142" s="135"/>
      <c r="EC142" s="135"/>
      <c r="ED142" s="135"/>
      <c r="EE142" s="135"/>
      <c r="EF142" s="135"/>
      <c r="EG142" s="135"/>
      <c r="EH142" s="135"/>
      <c r="EI142" s="135"/>
      <c r="EJ142" s="135"/>
      <c r="EK142" s="135"/>
      <c r="EL142" s="135"/>
      <c r="EM142" s="135"/>
      <c r="EN142" s="135"/>
      <c r="EO142" s="135"/>
      <c r="EP142" s="135"/>
      <c r="EQ142" s="135"/>
      <c r="ER142" s="135"/>
      <c r="ES142" s="135"/>
      <c r="ET142" s="135"/>
      <c r="EU142" s="135"/>
      <c r="EV142" s="135"/>
      <c r="EW142" s="135"/>
      <c r="EX142" s="135"/>
      <c r="EY142" s="135"/>
      <c r="EZ142" s="135"/>
      <c r="FA142" s="135"/>
      <c r="FB142" s="135"/>
    </row>
    <row r="143" spans="1:158" s="135" customFormat="1" hidden="1" x14ac:dyDescent="0.25">
      <c r="A143" s="30" t="s">
        <v>37</v>
      </c>
      <c r="B143" s="159">
        <v>240</v>
      </c>
      <c r="C143" s="162">
        <v>200</v>
      </c>
      <c r="D143" s="163">
        <v>8</v>
      </c>
      <c r="E143" s="100">
        <f>ROUND(F143/B143,0)</f>
        <v>7</v>
      </c>
      <c r="F143" s="3">
        <f>ROUND(C143*D143,0)</f>
        <v>1600</v>
      </c>
    </row>
    <row r="144" spans="1:158" s="135" customFormat="1" hidden="1" x14ac:dyDescent="0.25">
      <c r="A144" s="30" t="s">
        <v>138</v>
      </c>
      <c r="B144" s="159">
        <v>240</v>
      </c>
      <c r="C144" s="162">
        <v>20</v>
      </c>
      <c r="D144" s="163">
        <v>8</v>
      </c>
      <c r="E144" s="100">
        <f t="shared" ref="E144:E145" si="11">ROUND(F144/B144,0)</f>
        <v>1</v>
      </c>
      <c r="F144" s="3">
        <f t="shared" ref="F144:F145" si="12">ROUND(C144*D144,0)</f>
        <v>160</v>
      </c>
    </row>
    <row r="145" spans="1:158" s="135" customFormat="1" hidden="1" x14ac:dyDescent="0.25">
      <c r="A145" s="30" t="s">
        <v>57</v>
      </c>
      <c r="B145" s="159">
        <v>240</v>
      </c>
      <c r="C145" s="162">
        <v>25</v>
      </c>
      <c r="D145" s="163">
        <v>8</v>
      </c>
      <c r="E145" s="100">
        <f t="shared" si="11"/>
        <v>1</v>
      </c>
      <c r="F145" s="3">
        <f t="shared" si="12"/>
        <v>200</v>
      </c>
    </row>
    <row r="146" spans="1:158" s="135" customFormat="1" hidden="1" x14ac:dyDescent="0.25">
      <c r="A146" s="96" t="s">
        <v>141</v>
      </c>
      <c r="B146" s="159"/>
      <c r="C146" s="164">
        <f>C143+C144+C145</f>
        <v>245</v>
      </c>
      <c r="D146" s="165">
        <f t="shared" ref="D146" si="13">D143</f>
        <v>8</v>
      </c>
      <c r="E146" s="164">
        <f t="shared" ref="E146:F146" si="14">E143+E144+E145</f>
        <v>9</v>
      </c>
      <c r="F146" s="164">
        <f t="shared" si="14"/>
        <v>1960</v>
      </c>
    </row>
    <row r="147" spans="1:158" ht="19.5" hidden="1" customHeight="1" x14ac:dyDescent="0.25">
      <c r="A147" s="31" t="s">
        <v>116</v>
      </c>
      <c r="B147" s="149"/>
      <c r="C147" s="47">
        <f>C141+C146</f>
        <v>435</v>
      </c>
      <c r="D147" s="150">
        <f>F147/C147</f>
        <v>8.4827586206896548</v>
      </c>
      <c r="E147" s="47">
        <f>E141+E146</f>
        <v>15</v>
      </c>
      <c r="F147" s="47">
        <f>F141+F146</f>
        <v>3690</v>
      </c>
    </row>
    <row r="148" spans="1:158" ht="15.75" hidden="1" thickBot="1" x14ac:dyDescent="0.3">
      <c r="A148" s="168" t="s">
        <v>10</v>
      </c>
      <c r="B148" s="169"/>
      <c r="C148" s="169"/>
      <c r="D148" s="169"/>
      <c r="E148" s="169"/>
      <c r="F148" s="169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  <c r="AB148" s="135"/>
      <c r="AC148" s="135"/>
      <c r="AD148" s="135"/>
      <c r="AE148" s="135"/>
      <c r="AF148" s="135"/>
      <c r="AG148" s="135"/>
      <c r="AH148" s="135"/>
      <c r="AI148" s="135"/>
      <c r="AJ148" s="135"/>
      <c r="AK148" s="135"/>
      <c r="AL148" s="135"/>
      <c r="AM148" s="135"/>
      <c r="AN148" s="135"/>
      <c r="AO148" s="135"/>
      <c r="AP148" s="135"/>
      <c r="AQ148" s="135"/>
      <c r="AR148" s="135"/>
      <c r="AS148" s="135"/>
      <c r="AT148" s="135"/>
      <c r="AU148" s="135"/>
      <c r="AV148" s="135"/>
      <c r="AW148" s="135"/>
      <c r="AX148" s="135"/>
      <c r="AY148" s="135"/>
      <c r="AZ148" s="135"/>
      <c r="BA148" s="135"/>
      <c r="BB148" s="135"/>
      <c r="BC148" s="135"/>
      <c r="BD148" s="135"/>
      <c r="BE148" s="135"/>
      <c r="BF148" s="135"/>
      <c r="BG148" s="135"/>
      <c r="BH148" s="135"/>
      <c r="BI148" s="135"/>
      <c r="BJ148" s="135"/>
      <c r="BK148" s="135"/>
      <c r="BL148" s="135"/>
      <c r="BM148" s="135"/>
      <c r="BN148" s="135"/>
      <c r="BO148" s="135"/>
      <c r="BP148" s="135"/>
      <c r="BQ148" s="135"/>
      <c r="BR148" s="135"/>
      <c r="BS148" s="135"/>
      <c r="BT148" s="135"/>
      <c r="BU148" s="135"/>
      <c r="BV148" s="135"/>
      <c r="BW148" s="135"/>
      <c r="BX148" s="135"/>
      <c r="BY148" s="135"/>
      <c r="BZ148" s="135"/>
      <c r="CA148" s="135"/>
      <c r="CB148" s="135"/>
      <c r="CC148" s="135"/>
      <c r="CD148" s="135"/>
      <c r="CE148" s="135"/>
      <c r="CF148" s="135"/>
      <c r="CG148" s="135"/>
      <c r="CH148" s="135"/>
      <c r="CI148" s="135"/>
      <c r="CJ148" s="135"/>
      <c r="CK148" s="135"/>
      <c r="CL148" s="135"/>
      <c r="CM148" s="135"/>
      <c r="CN148" s="135"/>
      <c r="CO148" s="135"/>
      <c r="CP148" s="135"/>
      <c r="CQ148" s="135"/>
      <c r="CR148" s="135"/>
      <c r="CS148" s="135"/>
      <c r="CT148" s="135"/>
      <c r="CU148" s="135"/>
      <c r="CV148" s="135"/>
      <c r="CW148" s="135"/>
      <c r="CX148" s="135"/>
      <c r="CY148" s="135"/>
      <c r="CZ148" s="135"/>
      <c r="DA148" s="135"/>
      <c r="DB148" s="135"/>
      <c r="DC148" s="135"/>
      <c r="DD148" s="135"/>
      <c r="DE148" s="135"/>
      <c r="DF148" s="135"/>
      <c r="DG148" s="135"/>
      <c r="DH148" s="135"/>
      <c r="DI148" s="135"/>
      <c r="DJ148" s="135"/>
      <c r="DK148" s="135"/>
      <c r="DL148" s="135"/>
      <c r="DM148" s="135"/>
      <c r="DN148" s="135"/>
      <c r="DO148" s="135"/>
      <c r="DP148" s="135"/>
      <c r="DQ148" s="135"/>
      <c r="DR148" s="135"/>
      <c r="DS148" s="135"/>
      <c r="DT148" s="135"/>
      <c r="DU148" s="135"/>
      <c r="DV148" s="135"/>
      <c r="DW148" s="135"/>
      <c r="DX148" s="135"/>
      <c r="DY148" s="135"/>
      <c r="DZ148" s="135"/>
      <c r="EA148" s="135"/>
      <c r="EB148" s="135"/>
      <c r="EC148" s="135"/>
      <c r="ED148" s="135"/>
      <c r="EE148" s="135"/>
      <c r="EF148" s="135"/>
      <c r="EG148" s="135"/>
      <c r="EH148" s="135"/>
      <c r="EI148" s="135"/>
      <c r="EJ148" s="135"/>
      <c r="EK148" s="135"/>
      <c r="EL148" s="135"/>
      <c r="EM148" s="135"/>
      <c r="EN148" s="135"/>
      <c r="EO148" s="135"/>
      <c r="EP148" s="135"/>
      <c r="EQ148" s="135"/>
      <c r="ER148" s="135"/>
      <c r="ES148" s="135"/>
      <c r="ET148" s="135"/>
      <c r="EU148" s="135"/>
      <c r="EV148" s="135"/>
      <c r="EW148" s="135"/>
      <c r="EX148" s="135"/>
      <c r="EY148" s="135"/>
      <c r="EZ148" s="135"/>
      <c r="FA148" s="135"/>
      <c r="FB148" s="135"/>
    </row>
    <row r="149" spans="1:158" ht="23.25" hidden="1" customHeight="1" x14ac:dyDescent="0.25">
      <c r="A149" s="174" t="s">
        <v>184</v>
      </c>
      <c r="B149" s="94"/>
      <c r="C149" s="94"/>
      <c r="D149" s="94"/>
      <c r="E149" s="94"/>
      <c r="F149" s="94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  <c r="AD149" s="135"/>
      <c r="AE149" s="135"/>
      <c r="AF149" s="135"/>
      <c r="AG149" s="135"/>
      <c r="AH149" s="135"/>
      <c r="AI149" s="135"/>
      <c r="AJ149" s="135"/>
      <c r="AK149" s="135"/>
      <c r="AL149" s="135"/>
      <c r="AM149" s="135"/>
      <c r="AN149" s="135"/>
      <c r="AO149" s="135"/>
      <c r="AP149" s="135"/>
      <c r="AQ149" s="135"/>
      <c r="AR149" s="135"/>
      <c r="AS149" s="135"/>
      <c r="AT149" s="135"/>
      <c r="AU149" s="135"/>
      <c r="AV149" s="135"/>
      <c r="AW149" s="135"/>
      <c r="AX149" s="135"/>
      <c r="AY149" s="135"/>
      <c r="AZ149" s="135"/>
      <c r="BA149" s="135"/>
      <c r="BB149" s="135"/>
      <c r="BC149" s="135"/>
      <c r="BD149" s="135"/>
      <c r="BE149" s="135"/>
      <c r="BF149" s="135"/>
      <c r="BG149" s="135"/>
      <c r="BH149" s="135"/>
      <c r="BI149" s="135"/>
      <c r="BJ149" s="135"/>
      <c r="BK149" s="135"/>
      <c r="BL149" s="135"/>
      <c r="BM149" s="135"/>
      <c r="BN149" s="135"/>
      <c r="BO149" s="135"/>
      <c r="BP149" s="135"/>
      <c r="BQ149" s="135"/>
      <c r="BR149" s="135"/>
      <c r="BS149" s="135"/>
      <c r="BT149" s="135"/>
      <c r="BU149" s="135"/>
      <c r="BV149" s="135"/>
      <c r="BW149" s="135"/>
      <c r="BX149" s="135"/>
      <c r="BY149" s="135"/>
      <c r="BZ149" s="135"/>
      <c r="CA149" s="135"/>
      <c r="CB149" s="135"/>
      <c r="CC149" s="135"/>
      <c r="CD149" s="135"/>
      <c r="CE149" s="135"/>
      <c r="CF149" s="135"/>
      <c r="CG149" s="135"/>
      <c r="CH149" s="135"/>
      <c r="CI149" s="135"/>
      <c r="CJ149" s="135"/>
      <c r="CK149" s="135"/>
      <c r="CL149" s="135"/>
      <c r="CM149" s="135"/>
      <c r="CN149" s="135"/>
      <c r="CO149" s="135"/>
      <c r="CP149" s="135"/>
      <c r="CQ149" s="135"/>
      <c r="CR149" s="135"/>
      <c r="CS149" s="135"/>
      <c r="CT149" s="135"/>
      <c r="CU149" s="135"/>
      <c r="CV149" s="135"/>
      <c r="CW149" s="135"/>
      <c r="CX149" s="135"/>
      <c r="CY149" s="135"/>
      <c r="CZ149" s="135"/>
      <c r="DA149" s="135"/>
      <c r="DB149" s="135"/>
      <c r="DC149" s="135"/>
      <c r="DD149" s="135"/>
      <c r="DE149" s="135"/>
      <c r="DF149" s="135"/>
      <c r="DG149" s="135"/>
      <c r="DH149" s="135"/>
      <c r="DI149" s="135"/>
      <c r="DJ149" s="135"/>
      <c r="DK149" s="135"/>
      <c r="DL149" s="135"/>
      <c r="DM149" s="135"/>
      <c r="DN149" s="135"/>
      <c r="DO149" s="135"/>
      <c r="DP149" s="135"/>
      <c r="DQ149" s="135"/>
      <c r="DR149" s="135"/>
      <c r="DS149" s="135"/>
      <c r="DT149" s="135"/>
      <c r="DU149" s="135"/>
      <c r="DV149" s="135"/>
      <c r="DW149" s="135"/>
      <c r="DX149" s="135"/>
      <c r="DY149" s="135"/>
      <c r="DZ149" s="135"/>
      <c r="EA149" s="135"/>
      <c r="EB149" s="135"/>
      <c r="EC149" s="135"/>
      <c r="ED149" s="135"/>
      <c r="EE149" s="135"/>
      <c r="EF149" s="135"/>
      <c r="EG149" s="135"/>
      <c r="EH149" s="135"/>
      <c r="EI149" s="135"/>
      <c r="EJ149" s="135"/>
      <c r="EK149" s="135"/>
      <c r="EL149" s="135"/>
      <c r="EM149" s="135"/>
      <c r="EN149" s="135"/>
      <c r="EO149" s="135"/>
      <c r="EP149" s="135"/>
      <c r="EQ149" s="135"/>
      <c r="ER149" s="135"/>
      <c r="ES149" s="135"/>
      <c r="ET149" s="135"/>
      <c r="EU149" s="135"/>
      <c r="EV149" s="135"/>
      <c r="EW149" s="135"/>
      <c r="EX149" s="135"/>
      <c r="EY149" s="135"/>
      <c r="EZ149" s="135"/>
      <c r="FA149" s="135"/>
      <c r="FB149" s="135"/>
    </row>
    <row r="150" spans="1:158" ht="15.75" hidden="1" x14ac:dyDescent="0.25">
      <c r="A150" s="175" t="s">
        <v>4</v>
      </c>
      <c r="B150" s="90"/>
      <c r="C150" s="90"/>
      <c r="D150" s="150" t="e">
        <f>F150/#REF!</f>
        <v>#REF!</v>
      </c>
      <c r="E150" s="91">
        <f>E20+E95</f>
        <v>132</v>
      </c>
      <c r="F150" s="91">
        <f>F20+F95</f>
        <v>43262</v>
      </c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/>
      <c r="AB150" s="135"/>
      <c r="AC150" s="135"/>
      <c r="AD150" s="135"/>
      <c r="AE150" s="135"/>
      <c r="AF150" s="135"/>
      <c r="AG150" s="135"/>
      <c r="AH150" s="135"/>
      <c r="AI150" s="135"/>
      <c r="AJ150" s="135"/>
      <c r="AK150" s="135"/>
      <c r="AL150" s="135"/>
      <c r="AM150" s="135"/>
      <c r="AN150" s="135"/>
      <c r="AO150" s="135"/>
      <c r="AP150" s="135"/>
      <c r="AQ150" s="135"/>
      <c r="AR150" s="135"/>
      <c r="AS150" s="135"/>
      <c r="AT150" s="135"/>
      <c r="AU150" s="135"/>
      <c r="AV150" s="135"/>
      <c r="AW150" s="135"/>
      <c r="AX150" s="135"/>
      <c r="AY150" s="135"/>
      <c r="AZ150" s="135"/>
      <c r="BA150" s="135"/>
      <c r="BB150" s="135"/>
      <c r="BC150" s="135"/>
      <c r="BD150" s="135"/>
      <c r="BE150" s="135"/>
      <c r="BF150" s="135"/>
      <c r="BG150" s="135"/>
      <c r="BH150" s="135"/>
      <c r="BI150" s="135"/>
      <c r="BJ150" s="135"/>
      <c r="BK150" s="135"/>
      <c r="BL150" s="135"/>
      <c r="BM150" s="135"/>
      <c r="BN150" s="135"/>
      <c r="BO150" s="135"/>
      <c r="BP150" s="135"/>
      <c r="BQ150" s="135"/>
      <c r="BR150" s="135"/>
      <c r="BS150" s="135"/>
      <c r="BT150" s="135"/>
      <c r="BU150" s="135"/>
      <c r="BV150" s="135"/>
      <c r="BW150" s="135"/>
      <c r="BX150" s="135"/>
      <c r="BY150" s="135"/>
      <c r="BZ150" s="135"/>
      <c r="CA150" s="135"/>
      <c r="CB150" s="135"/>
      <c r="CC150" s="135"/>
      <c r="CD150" s="135"/>
      <c r="CE150" s="135"/>
      <c r="CF150" s="135"/>
      <c r="CG150" s="135"/>
      <c r="CH150" s="135"/>
      <c r="CI150" s="135"/>
      <c r="CJ150" s="135"/>
      <c r="CK150" s="135"/>
      <c r="CL150" s="135"/>
      <c r="CM150" s="135"/>
      <c r="CN150" s="135"/>
      <c r="CO150" s="135"/>
      <c r="CP150" s="135"/>
      <c r="CQ150" s="135"/>
      <c r="CR150" s="135"/>
      <c r="CS150" s="135"/>
      <c r="CT150" s="135"/>
      <c r="CU150" s="135"/>
      <c r="CV150" s="135"/>
      <c r="CW150" s="135"/>
      <c r="CX150" s="135"/>
      <c r="CY150" s="135"/>
      <c r="CZ150" s="135"/>
      <c r="DA150" s="135"/>
      <c r="DB150" s="135"/>
      <c r="DC150" s="135"/>
      <c r="DD150" s="135"/>
      <c r="DE150" s="135"/>
      <c r="DF150" s="135"/>
      <c r="DG150" s="135"/>
      <c r="DH150" s="135"/>
      <c r="DI150" s="135"/>
      <c r="DJ150" s="135"/>
      <c r="DK150" s="135"/>
      <c r="DL150" s="135"/>
      <c r="DM150" s="135"/>
      <c r="DN150" s="135"/>
      <c r="DO150" s="135"/>
      <c r="DP150" s="135"/>
      <c r="DQ150" s="135"/>
      <c r="DR150" s="135"/>
      <c r="DS150" s="135"/>
      <c r="DT150" s="135"/>
      <c r="DU150" s="135"/>
      <c r="DV150" s="135"/>
      <c r="DW150" s="135"/>
      <c r="DX150" s="135"/>
      <c r="DY150" s="135"/>
      <c r="DZ150" s="135"/>
      <c r="EA150" s="135"/>
      <c r="EB150" s="135"/>
      <c r="EC150" s="135"/>
      <c r="ED150" s="135"/>
      <c r="EE150" s="135"/>
      <c r="EF150" s="135"/>
      <c r="EG150" s="135"/>
      <c r="EH150" s="135"/>
      <c r="EI150" s="135"/>
      <c r="EJ150" s="135"/>
      <c r="EK150" s="135"/>
      <c r="EL150" s="135"/>
      <c r="EM150" s="135"/>
      <c r="EN150" s="135"/>
      <c r="EO150" s="135"/>
      <c r="EP150" s="135"/>
      <c r="EQ150" s="135"/>
      <c r="ER150" s="135"/>
      <c r="ES150" s="135"/>
      <c r="ET150" s="135"/>
      <c r="EU150" s="135"/>
      <c r="EV150" s="135"/>
      <c r="EW150" s="135"/>
      <c r="EX150" s="135"/>
      <c r="EY150" s="135"/>
      <c r="EZ150" s="135"/>
      <c r="FA150" s="135"/>
      <c r="FB150" s="135"/>
    </row>
    <row r="151" spans="1:158" ht="15.75" hidden="1" x14ac:dyDescent="0.25">
      <c r="A151" s="175" t="s">
        <v>185</v>
      </c>
      <c r="B151" s="90"/>
      <c r="C151" s="90"/>
      <c r="D151" s="176"/>
      <c r="E151" s="90"/>
      <c r="F151" s="90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  <c r="W151" s="135"/>
      <c r="X151" s="135"/>
      <c r="Y151" s="135"/>
      <c r="Z151" s="135"/>
      <c r="AA151" s="135"/>
      <c r="AB151" s="135"/>
      <c r="AC151" s="135"/>
      <c r="AD151" s="135"/>
      <c r="AE151" s="135"/>
      <c r="AF151" s="135"/>
      <c r="AG151" s="135"/>
      <c r="AH151" s="135"/>
      <c r="AI151" s="135"/>
      <c r="AJ151" s="135"/>
      <c r="AK151" s="135"/>
      <c r="AL151" s="135"/>
      <c r="AM151" s="135"/>
      <c r="AN151" s="135"/>
      <c r="AO151" s="135"/>
      <c r="AP151" s="135"/>
      <c r="AQ151" s="135"/>
      <c r="AR151" s="135"/>
      <c r="AS151" s="135"/>
      <c r="AT151" s="135"/>
      <c r="AU151" s="135"/>
      <c r="AV151" s="135"/>
      <c r="AW151" s="135"/>
      <c r="AX151" s="135"/>
      <c r="AY151" s="135"/>
      <c r="AZ151" s="135"/>
      <c r="BA151" s="135"/>
      <c r="BB151" s="135"/>
      <c r="BC151" s="135"/>
      <c r="BD151" s="135"/>
      <c r="BE151" s="135"/>
      <c r="BF151" s="135"/>
      <c r="BG151" s="135"/>
      <c r="BH151" s="135"/>
      <c r="BI151" s="135"/>
      <c r="BJ151" s="135"/>
      <c r="BK151" s="135"/>
      <c r="BL151" s="135"/>
      <c r="BM151" s="135"/>
      <c r="BN151" s="135"/>
      <c r="BO151" s="135"/>
      <c r="BP151" s="135"/>
      <c r="BQ151" s="135"/>
      <c r="BR151" s="135"/>
      <c r="BS151" s="135"/>
      <c r="BT151" s="135"/>
      <c r="BU151" s="135"/>
      <c r="BV151" s="135"/>
      <c r="BW151" s="135"/>
      <c r="BX151" s="135"/>
      <c r="BY151" s="135"/>
      <c r="BZ151" s="135"/>
      <c r="CA151" s="135"/>
      <c r="CB151" s="135"/>
      <c r="CC151" s="135"/>
      <c r="CD151" s="135"/>
      <c r="CE151" s="135"/>
      <c r="CF151" s="135"/>
      <c r="CG151" s="135"/>
      <c r="CH151" s="135"/>
      <c r="CI151" s="135"/>
      <c r="CJ151" s="135"/>
      <c r="CK151" s="135"/>
      <c r="CL151" s="135"/>
      <c r="CM151" s="135"/>
      <c r="CN151" s="135"/>
      <c r="CO151" s="135"/>
      <c r="CP151" s="135"/>
      <c r="CQ151" s="135"/>
      <c r="CR151" s="135"/>
      <c r="CS151" s="135"/>
      <c r="CT151" s="135"/>
      <c r="CU151" s="135"/>
      <c r="CV151" s="135"/>
      <c r="CW151" s="135"/>
      <c r="CX151" s="135"/>
      <c r="CY151" s="135"/>
      <c r="CZ151" s="135"/>
      <c r="DA151" s="135"/>
      <c r="DB151" s="135"/>
      <c r="DC151" s="135"/>
      <c r="DD151" s="135"/>
      <c r="DE151" s="135"/>
      <c r="DF151" s="135"/>
      <c r="DG151" s="135"/>
      <c r="DH151" s="135"/>
      <c r="DI151" s="135"/>
      <c r="DJ151" s="135"/>
      <c r="DK151" s="135"/>
      <c r="DL151" s="135"/>
      <c r="DM151" s="135"/>
      <c r="DN151" s="135"/>
      <c r="DO151" s="135"/>
      <c r="DP151" s="135"/>
      <c r="DQ151" s="135"/>
      <c r="DR151" s="135"/>
      <c r="DS151" s="135"/>
      <c r="DT151" s="135"/>
      <c r="DU151" s="135"/>
      <c r="DV151" s="135"/>
      <c r="DW151" s="135"/>
      <c r="DX151" s="135"/>
      <c r="DY151" s="135"/>
      <c r="DZ151" s="135"/>
      <c r="EA151" s="135"/>
      <c r="EB151" s="135"/>
      <c r="EC151" s="135"/>
      <c r="ED151" s="135"/>
      <c r="EE151" s="135"/>
      <c r="EF151" s="135"/>
      <c r="EG151" s="135"/>
      <c r="EH151" s="135"/>
      <c r="EI151" s="135"/>
      <c r="EJ151" s="135"/>
      <c r="EK151" s="135"/>
      <c r="EL151" s="135"/>
      <c r="EM151" s="135"/>
      <c r="EN151" s="135"/>
      <c r="EO151" s="135"/>
      <c r="EP151" s="135"/>
      <c r="EQ151" s="135"/>
      <c r="ER151" s="135"/>
      <c r="ES151" s="135"/>
      <c r="ET151" s="135"/>
      <c r="EU151" s="135"/>
      <c r="EV151" s="135"/>
      <c r="EW151" s="135"/>
      <c r="EX151" s="135"/>
      <c r="EY151" s="135"/>
      <c r="EZ151" s="135"/>
      <c r="FA151" s="135"/>
      <c r="FB151" s="135"/>
    </row>
    <row r="152" spans="1:158" ht="30" hidden="1" x14ac:dyDescent="0.25">
      <c r="A152" s="23" t="s">
        <v>321</v>
      </c>
      <c r="B152" s="28"/>
      <c r="C152" s="28"/>
      <c r="D152" s="176"/>
      <c r="E152" s="28"/>
      <c r="F152" s="28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  <c r="Z152" s="135"/>
      <c r="AA152" s="135"/>
      <c r="AB152" s="135"/>
      <c r="AC152" s="135"/>
      <c r="AD152" s="135"/>
      <c r="AE152" s="135"/>
      <c r="AF152" s="135"/>
      <c r="AG152" s="135"/>
      <c r="AH152" s="135"/>
      <c r="AI152" s="135"/>
      <c r="AJ152" s="135"/>
      <c r="AK152" s="135"/>
      <c r="AL152" s="135"/>
      <c r="AM152" s="135"/>
      <c r="AN152" s="135"/>
      <c r="AO152" s="135"/>
      <c r="AP152" s="135"/>
      <c r="AQ152" s="135"/>
      <c r="AR152" s="135"/>
      <c r="AS152" s="135"/>
      <c r="AT152" s="135"/>
      <c r="AU152" s="135"/>
      <c r="AV152" s="135"/>
      <c r="AW152" s="135"/>
      <c r="AX152" s="135"/>
      <c r="AY152" s="135"/>
      <c r="AZ152" s="135"/>
      <c r="BA152" s="135"/>
      <c r="BB152" s="135"/>
      <c r="BC152" s="135"/>
      <c r="BD152" s="135"/>
      <c r="BE152" s="135"/>
      <c r="BF152" s="135"/>
      <c r="BG152" s="135"/>
      <c r="BH152" s="135"/>
      <c r="BI152" s="135"/>
      <c r="BJ152" s="135"/>
      <c r="BK152" s="135"/>
      <c r="BL152" s="135"/>
      <c r="BM152" s="135"/>
      <c r="BN152" s="135"/>
      <c r="BO152" s="135"/>
      <c r="BP152" s="135"/>
      <c r="BQ152" s="135"/>
      <c r="BR152" s="135"/>
      <c r="BS152" s="135"/>
      <c r="BT152" s="135"/>
      <c r="BU152" s="135"/>
      <c r="BV152" s="135"/>
      <c r="BW152" s="135"/>
      <c r="BX152" s="135"/>
      <c r="BY152" s="135"/>
      <c r="BZ152" s="135"/>
      <c r="CA152" s="135"/>
      <c r="CB152" s="135"/>
      <c r="CC152" s="135"/>
      <c r="CD152" s="135"/>
      <c r="CE152" s="135"/>
      <c r="CF152" s="135"/>
      <c r="CG152" s="135"/>
      <c r="CH152" s="135"/>
      <c r="CI152" s="135"/>
      <c r="CJ152" s="135"/>
      <c r="CK152" s="135"/>
      <c r="CL152" s="135"/>
      <c r="CM152" s="135"/>
      <c r="CN152" s="135"/>
      <c r="CO152" s="135"/>
      <c r="CP152" s="135"/>
      <c r="CQ152" s="135"/>
      <c r="CR152" s="135"/>
      <c r="CS152" s="135"/>
      <c r="CT152" s="135"/>
      <c r="CU152" s="135"/>
      <c r="CV152" s="135"/>
      <c r="CW152" s="135"/>
      <c r="CX152" s="135"/>
      <c r="CY152" s="135"/>
      <c r="CZ152" s="135"/>
      <c r="DA152" s="135"/>
      <c r="DB152" s="135"/>
      <c r="DC152" s="135"/>
      <c r="DD152" s="135"/>
      <c r="DE152" s="135"/>
      <c r="DF152" s="135"/>
      <c r="DG152" s="135"/>
      <c r="DH152" s="135"/>
      <c r="DI152" s="135"/>
      <c r="DJ152" s="135"/>
      <c r="DK152" s="135"/>
      <c r="DL152" s="135"/>
      <c r="DM152" s="135"/>
      <c r="DN152" s="135"/>
      <c r="DO152" s="135"/>
      <c r="DP152" s="135"/>
      <c r="DQ152" s="135"/>
      <c r="DR152" s="135"/>
      <c r="DS152" s="135"/>
      <c r="DT152" s="135"/>
      <c r="DU152" s="135"/>
      <c r="DV152" s="135"/>
      <c r="DW152" s="135"/>
      <c r="DX152" s="135"/>
      <c r="DY152" s="135"/>
      <c r="DZ152" s="135"/>
      <c r="EA152" s="135"/>
      <c r="EB152" s="135"/>
      <c r="EC152" s="135"/>
      <c r="ED152" s="135"/>
      <c r="EE152" s="135"/>
      <c r="EF152" s="135"/>
      <c r="EG152" s="135"/>
      <c r="EH152" s="135"/>
      <c r="EI152" s="135"/>
      <c r="EJ152" s="135"/>
      <c r="EK152" s="135"/>
      <c r="EL152" s="135"/>
      <c r="EM152" s="135"/>
      <c r="EN152" s="135"/>
      <c r="EO152" s="135"/>
      <c r="EP152" s="135"/>
      <c r="EQ152" s="135"/>
      <c r="ER152" s="135"/>
      <c r="ES152" s="135"/>
      <c r="ET152" s="135"/>
      <c r="EU152" s="135"/>
      <c r="EV152" s="135"/>
      <c r="EW152" s="135"/>
      <c r="EX152" s="135"/>
      <c r="EY152" s="135"/>
      <c r="EZ152" s="135"/>
      <c r="FA152" s="135"/>
      <c r="FB152" s="135"/>
    </row>
    <row r="153" spans="1:158" hidden="1" x14ac:dyDescent="0.25">
      <c r="A153" s="24" t="s">
        <v>118</v>
      </c>
      <c r="B153" s="90"/>
      <c r="C153" s="90"/>
      <c r="D153" s="176"/>
      <c r="E153" s="90"/>
      <c r="F153" s="90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/>
      <c r="AB153" s="135"/>
      <c r="AC153" s="135"/>
      <c r="AD153" s="135"/>
      <c r="AE153" s="135"/>
      <c r="AF153" s="135"/>
      <c r="AG153" s="135"/>
      <c r="AH153" s="135"/>
      <c r="AI153" s="135"/>
      <c r="AJ153" s="135"/>
      <c r="AK153" s="135"/>
      <c r="AL153" s="135"/>
      <c r="AM153" s="135"/>
      <c r="AN153" s="135"/>
      <c r="AO153" s="135"/>
      <c r="AP153" s="135"/>
      <c r="AQ153" s="135"/>
      <c r="AR153" s="135"/>
      <c r="AS153" s="135"/>
      <c r="AT153" s="135"/>
      <c r="AU153" s="135"/>
      <c r="AV153" s="135"/>
      <c r="AW153" s="135"/>
      <c r="AX153" s="135"/>
      <c r="AY153" s="135"/>
      <c r="AZ153" s="135"/>
      <c r="BA153" s="135"/>
      <c r="BB153" s="135"/>
      <c r="BC153" s="135"/>
      <c r="BD153" s="135"/>
      <c r="BE153" s="135"/>
      <c r="BF153" s="135"/>
      <c r="BG153" s="135"/>
      <c r="BH153" s="135"/>
      <c r="BI153" s="135"/>
      <c r="BJ153" s="135"/>
      <c r="BK153" s="135"/>
      <c r="BL153" s="135"/>
      <c r="BM153" s="135"/>
      <c r="BN153" s="135"/>
      <c r="BO153" s="135"/>
      <c r="BP153" s="135"/>
      <c r="BQ153" s="135"/>
      <c r="BR153" s="135"/>
      <c r="BS153" s="135"/>
      <c r="BT153" s="135"/>
      <c r="BU153" s="135"/>
      <c r="BV153" s="135"/>
      <c r="BW153" s="135"/>
      <c r="BX153" s="135"/>
      <c r="BY153" s="135"/>
      <c r="BZ153" s="135"/>
      <c r="CA153" s="135"/>
      <c r="CB153" s="135"/>
      <c r="CC153" s="135"/>
      <c r="CD153" s="135"/>
      <c r="CE153" s="135"/>
      <c r="CF153" s="135"/>
      <c r="CG153" s="135"/>
      <c r="CH153" s="135"/>
      <c r="CI153" s="135"/>
      <c r="CJ153" s="135"/>
      <c r="CK153" s="135"/>
      <c r="CL153" s="135"/>
      <c r="CM153" s="135"/>
      <c r="CN153" s="135"/>
      <c r="CO153" s="135"/>
      <c r="CP153" s="135"/>
      <c r="CQ153" s="135"/>
      <c r="CR153" s="135"/>
      <c r="CS153" s="135"/>
      <c r="CT153" s="135"/>
      <c r="CU153" s="135"/>
      <c r="CV153" s="135"/>
      <c r="CW153" s="135"/>
      <c r="CX153" s="135"/>
      <c r="CY153" s="135"/>
      <c r="CZ153" s="135"/>
      <c r="DA153" s="135"/>
      <c r="DB153" s="135"/>
      <c r="DC153" s="135"/>
      <c r="DD153" s="135"/>
      <c r="DE153" s="135"/>
      <c r="DF153" s="135"/>
      <c r="DG153" s="135"/>
      <c r="DH153" s="135"/>
      <c r="DI153" s="135"/>
      <c r="DJ153" s="135"/>
      <c r="DK153" s="135"/>
      <c r="DL153" s="135"/>
      <c r="DM153" s="135"/>
      <c r="DN153" s="135"/>
      <c r="DO153" s="135"/>
      <c r="DP153" s="135"/>
      <c r="DQ153" s="135"/>
      <c r="DR153" s="135"/>
      <c r="DS153" s="135"/>
      <c r="DT153" s="135"/>
      <c r="DU153" s="135"/>
      <c r="DV153" s="135"/>
      <c r="DW153" s="135"/>
      <c r="DX153" s="135"/>
      <c r="DY153" s="135"/>
      <c r="DZ153" s="135"/>
      <c r="EA153" s="135"/>
      <c r="EB153" s="135"/>
      <c r="EC153" s="135"/>
      <c r="ED153" s="135"/>
      <c r="EE153" s="135"/>
      <c r="EF153" s="135"/>
      <c r="EG153" s="135"/>
      <c r="EH153" s="135"/>
      <c r="EI153" s="135"/>
      <c r="EJ153" s="135"/>
      <c r="EK153" s="135"/>
      <c r="EL153" s="135"/>
      <c r="EM153" s="135"/>
      <c r="EN153" s="135"/>
      <c r="EO153" s="135"/>
      <c r="EP153" s="135"/>
      <c r="EQ153" s="135"/>
      <c r="ER153" s="135"/>
      <c r="ES153" s="135"/>
      <c r="ET153" s="135"/>
      <c r="EU153" s="135"/>
      <c r="EV153" s="135"/>
      <c r="EW153" s="135"/>
      <c r="EX153" s="135"/>
      <c r="EY153" s="135"/>
      <c r="EZ153" s="135"/>
      <c r="FA153" s="135"/>
      <c r="FB153" s="135"/>
    </row>
    <row r="154" spans="1:158" ht="30" hidden="1" x14ac:dyDescent="0.25">
      <c r="A154" s="24" t="s">
        <v>119</v>
      </c>
      <c r="B154" s="90"/>
      <c r="C154" s="90"/>
      <c r="D154" s="176"/>
      <c r="E154" s="90"/>
      <c r="F154" s="90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  <c r="Z154" s="135"/>
      <c r="AA154" s="135"/>
      <c r="AB154" s="135"/>
      <c r="AC154" s="135"/>
      <c r="AD154" s="135"/>
      <c r="AE154" s="135"/>
      <c r="AF154" s="135"/>
      <c r="AG154" s="135"/>
      <c r="AH154" s="135"/>
      <c r="AI154" s="135"/>
      <c r="AJ154" s="135"/>
      <c r="AK154" s="135"/>
      <c r="AL154" s="135"/>
      <c r="AM154" s="135"/>
      <c r="AN154" s="135"/>
      <c r="AO154" s="135"/>
      <c r="AP154" s="135"/>
      <c r="AQ154" s="135"/>
      <c r="AR154" s="135"/>
      <c r="AS154" s="135"/>
      <c r="AT154" s="135"/>
      <c r="AU154" s="135"/>
      <c r="AV154" s="135"/>
      <c r="AW154" s="135"/>
      <c r="AX154" s="135"/>
      <c r="AY154" s="135"/>
      <c r="AZ154" s="135"/>
      <c r="BA154" s="135"/>
      <c r="BB154" s="135"/>
      <c r="BC154" s="135"/>
      <c r="BD154" s="135"/>
      <c r="BE154" s="135"/>
      <c r="BF154" s="135"/>
      <c r="BG154" s="135"/>
      <c r="BH154" s="135"/>
      <c r="BI154" s="135"/>
      <c r="BJ154" s="135"/>
      <c r="BK154" s="135"/>
      <c r="BL154" s="135"/>
      <c r="BM154" s="135"/>
      <c r="BN154" s="135"/>
      <c r="BO154" s="135"/>
      <c r="BP154" s="135"/>
      <c r="BQ154" s="135"/>
      <c r="BR154" s="135"/>
      <c r="BS154" s="135"/>
      <c r="BT154" s="135"/>
      <c r="BU154" s="135"/>
      <c r="BV154" s="135"/>
      <c r="BW154" s="135"/>
      <c r="BX154" s="135"/>
      <c r="BY154" s="135"/>
      <c r="BZ154" s="135"/>
      <c r="CA154" s="135"/>
      <c r="CB154" s="135"/>
      <c r="CC154" s="135"/>
      <c r="CD154" s="135"/>
      <c r="CE154" s="135"/>
      <c r="CF154" s="135"/>
      <c r="CG154" s="135"/>
      <c r="CH154" s="135"/>
      <c r="CI154" s="135"/>
      <c r="CJ154" s="135"/>
      <c r="CK154" s="135"/>
      <c r="CL154" s="135"/>
      <c r="CM154" s="135"/>
      <c r="CN154" s="135"/>
      <c r="CO154" s="135"/>
      <c r="CP154" s="135"/>
      <c r="CQ154" s="135"/>
      <c r="CR154" s="135"/>
      <c r="CS154" s="135"/>
      <c r="CT154" s="135"/>
      <c r="CU154" s="135"/>
      <c r="CV154" s="135"/>
      <c r="CW154" s="135"/>
      <c r="CX154" s="135"/>
      <c r="CY154" s="135"/>
      <c r="CZ154" s="135"/>
      <c r="DA154" s="135"/>
      <c r="DB154" s="135"/>
      <c r="DC154" s="135"/>
      <c r="DD154" s="135"/>
      <c r="DE154" s="135"/>
      <c r="DF154" s="135"/>
      <c r="DG154" s="135"/>
      <c r="DH154" s="135"/>
      <c r="DI154" s="135"/>
      <c r="DJ154" s="135"/>
      <c r="DK154" s="135"/>
      <c r="DL154" s="135"/>
      <c r="DM154" s="135"/>
      <c r="DN154" s="135"/>
      <c r="DO154" s="135"/>
      <c r="DP154" s="135"/>
      <c r="DQ154" s="135"/>
      <c r="DR154" s="135"/>
      <c r="DS154" s="135"/>
      <c r="DT154" s="135"/>
      <c r="DU154" s="135"/>
      <c r="DV154" s="135"/>
      <c r="DW154" s="135"/>
      <c r="DX154" s="135"/>
      <c r="DY154" s="135"/>
      <c r="DZ154" s="135"/>
      <c r="EA154" s="135"/>
      <c r="EB154" s="135"/>
      <c r="EC154" s="135"/>
      <c r="ED154" s="135"/>
      <c r="EE154" s="135"/>
      <c r="EF154" s="135"/>
      <c r="EG154" s="135"/>
      <c r="EH154" s="135"/>
      <c r="EI154" s="135"/>
      <c r="EJ154" s="135"/>
      <c r="EK154" s="135"/>
      <c r="EL154" s="135"/>
      <c r="EM154" s="135"/>
      <c r="EN154" s="135"/>
      <c r="EO154" s="135"/>
      <c r="EP154" s="135"/>
      <c r="EQ154" s="135"/>
      <c r="ER154" s="135"/>
      <c r="ES154" s="135"/>
      <c r="ET154" s="135"/>
      <c r="EU154" s="135"/>
      <c r="EV154" s="135"/>
      <c r="EW154" s="135"/>
      <c r="EX154" s="135"/>
      <c r="EY154" s="135"/>
      <c r="EZ154" s="135"/>
      <c r="FA154" s="135"/>
      <c r="FB154" s="135"/>
    </row>
    <row r="155" spans="1:158" ht="15.75" hidden="1" x14ac:dyDescent="0.25">
      <c r="A155" s="177" t="s">
        <v>186</v>
      </c>
      <c r="B155" s="90"/>
      <c r="C155" s="90"/>
      <c r="D155" s="176"/>
      <c r="E155" s="90"/>
      <c r="F155" s="90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  <c r="Y155" s="135"/>
      <c r="Z155" s="135"/>
      <c r="AA155" s="135"/>
      <c r="AB155" s="135"/>
      <c r="AC155" s="135"/>
      <c r="AD155" s="135"/>
      <c r="AE155" s="135"/>
      <c r="AF155" s="135"/>
      <c r="AG155" s="135"/>
      <c r="AH155" s="135"/>
      <c r="AI155" s="135"/>
      <c r="AJ155" s="135"/>
      <c r="AK155" s="135"/>
      <c r="AL155" s="135"/>
      <c r="AM155" s="135"/>
      <c r="AN155" s="135"/>
      <c r="AO155" s="135"/>
      <c r="AP155" s="135"/>
      <c r="AQ155" s="135"/>
      <c r="AR155" s="135"/>
      <c r="AS155" s="135"/>
      <c r="AT155" s="135"/>
      <c r="AU155" s="135"/>
      <c r="AV155" s="135"/>
      <c r="AW155" s="135"/>
      <c r="AX155" s="135"/>
      <c r="AY155" s="135"/>
      <c r="AZ155" s="135"/>
      <c r="BA155" s="135"/>
      <c r="BB155" s="135"/>
      <c r="BC155" s="135"/>
      <c r="BD155" s="135"/>
      <c r="BE155" s="135"/>
      <c r="BF155" s="135"/>
      <c r="BG155" s="135"/>
      <c r="BH155" s="135"/>
      <c r="BI155" s="135"/>
      <c r="BJ155" s="135"/>
      <c r="BK155" s="135"/>
      <c r="BL155" s="135"/>
      <c r="BM155" s="135"/>
      <c r="BN155" s="135"/>
      <c r="BO155" s="135"/>
      <c r="BP155" s="135"/>
      <c r="BQ155" s="135"/>
      <c r="BR155" s="135"/>
      <c r="BS155" s="135"/>
      <c r="BT155" s="135"/>
      <c r="BU155" s="135"/>
      <c r="BV155" s="135"/>
      <c r="BW155" s="135"/>
      <c r="BX155" s="135"/>
      <c r="BY155" s="135"/>
      <c r="BZ155" s="135"/>
      <c r="CA155" s="135"/>
      <c r="CB155" s="135"/>
      <c r="CC155" s="135"/>
      <c r="CD155" s="135"/>
      <c r="CE155" s="135"/>
      <c r="CF155" s="135"/>
      <c r="CG155" s="135"/>
      <c r="CH155" s="135"/>
      <c r="CI155" s="135"/>
      <c r="CJ155" s="135"/>
      <c r="CK155" s="135"/>
      <c r="CL155" s="135"/>
      <c r="CM155" s="135"/>
      <c r="CN155" s="135"/>
      <c r="CO155" s="135"/>
      <c r="CP155" s="135"/>
      <c r="CQ155" s="135"/>
      <c r="CR155" s="135"/>
      <c r="CS155" s="135"/>
      <c r="CT155" s="135"/>
      <c r="CU155" s="135"/>
      <c r="CV155" s="135"/>
      <c r="CW155" s="135"/>
      <c r="CX155" s="135"/>
      <c r="CY155" s="135"/>
      <c r="CZ155" s="135"/>
      <c r="DA155" s="135"/>
      <c r="DB155" s="135"/>
      <c r="DC155" s="135"/>
      <c r="DD155" s="135"/>
      <c r="DE155" s="135"/>
      <c r="DF155" s="135"/>
      <c r="DG155" s="135"/>
      <c r="DH155" s="135"/>
      <c r="DI155" s="135"/>
      <c r="DJ155" s="135"/>
      <c r="DK155" s="135"/>
      <c r="DL155" s="135"/>
      <c r="DM155" s="135"/>
      <c r="DN155" s="135"/>
      <c r="DO155" s="135"/>
      <c r="DP155" s="135"/>
      <c r="DQ155" s="135"/>
      <c r="DR155" s="135"/>
      <c r="DS155" s="135"/>
      <c r="DT155" s="135"/>
      <c r="DU155" s="135"/>
      <c r="DV155" s="135"/>
      <c r="DW155" s="135"/>
      <c r="DX155" s="135"/>
      <c r="DY155" s="135"/>
      <c r="DZ155" s="135"/>
      <c r="EA155" s="135"/>
      <c r="EB155" s="135"/>
      <c r="EC155" s="135"/>
      <c r="ED155" s="135"/>
      <c r="EE155" s="135"/>
      <c r="EF155" s="135"/>
      <c r="EG155" s="135"/>
      <c r="EH155" s="135"/>
      <c r="EI155" s="135"/>
      <c r="EJ155" s="135"/>
      <c r="EK155" s="135"/>
      <c r="EL155" s="135"/>
      <c r="EM155" s="135"/>
      <c r="EN155" s="135"/>
      <c r="EO155" s="135"/>
      <c r="EP155" s="135"/>
      <c r="EQ155" s="135"/>
      <c r="ER155" s="135"/>
      <c r="ES155" s="135"/>
      <c r="ET155" s="135"/>
      <c r="EU155" s="135"/>
      <c r="EV155" s="135"/>
      <c r="EW155" s="135"/>
      <c r="EX155" s="135"/>
      <c r="EY155" s="135"/>
      <c r="EZ155" s="135"/>
      <c r="FA155" s="135"/>
      <c r="FB155" s="135"/>
    </row>
    <row r="156" spans="1:158" hidden="1" x14ac:dyDescent="0.25">
      <c r="A156" s="34" t="s">
        <v>7</v>
      </c>
      <c r="B156" s="90"/>
      <c r="C156" s="90"/>
      <c r="D156" s="176"/>
      <c r="E156" s="90"/>
      <c r="F156" s="90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  <c r="Y156" s="135"/>
      <c r="Z156" s="135"/>
      <c r="AA156" s="135"/>
      <c r="AB156" s="135"/>
      <c r="AC156" s="135"/>
      <c r="AD156" s="135"/>
      <c r="AE156" s="135"/>
      <c r="AF156" s="135"/>
      <c r="AG156" s="135"/>
      <c r="AH156" s="135"/>
      <c r="AI156" s="135"/>
      <c r="AJ156" s="135"/>
      <c r="AK156" s="135"/>
      <c r="AL156" s="135"/>
      <c r="AM156" s="135"/>
      <c r="AN156" s="135"/>
      <c r="AO156" s="135"/>
      <c r="AP156" s="135"/>
      <c r="AQ156" s="135"/>
      <c r="AR156" s="135"/>
      <c r="AS156" s="135"/>
      <c r="AT156" s="135"/>
      <c r="AU156" s="135"/>
      <c r="AV156" s="135"/>
      <c r="AW156" s="135"/>
      <c r="AX156" s="135"/>
      <c r="AY156" s="135"/>
      <c r="AZ156" s="135"/>
      <c r="BA156" s="135"/>
      <c r="BB156" s="135"/>
      <c r="BC156" s="135"/>
      <c r="BD156" s="135"/>
      <c r="BE156" s="135"/>
      <c r="BF156" s="135"/>
      <c r="BG156" s="135"/>
      <c r="BH156" s="135"/>
      <c r="BI156" s="135"/>
      <c r="BJ156" s="135"/>
      <c r="BK156" s="135"/>
      <c r="BL156" s="135"/>
      <c r="BM156" s="135"/>
      <c r="BN156" s="135"/>
      <c r="BO156" s="135"/>
      <c r="BP156" s="135"/>
      <c r="BQ156" s="135"/>
      <c r="BR156" s="135"/>
      <c r="BS156" s="135"/>
      <c r="BT156" s="135"/>
      <c r="BU156" s="135"/>
      <c r="BV156" s="135"/>
      <c r="BW156" s="135"/>
      <c r="BX156" s="135"/>
      <c r="BY156" s="135"/>
      <c r="BZ156" s="135"/>
      <c r="CA156" s="135"/>
      <c r="CB156" s="135"/>
      <c r="CC156" s="135"/>
      <c r="CD156" s="135"/>
      <c r="CE156" s="135"/>
      <c r="CF156" s="135"/>
      <c r="CG156" s="135"/>
      <c r="CH156" s="135"/>
      <c r="CI156" s="135"/>
      <c r="CJ156" s="135"/>
      <c r="CK156" s="135"/>
      <c r="CL156" s="135"/>
      <c r="CM156" s="135"/>
      <c r="CN156" s="135"/>
      <c r="CO156" s="135"/>
      <c r="CP156" s="135"/>
      <c r="CQ156" s="135"/>
      <c r="CR156" s="135"/>
      <c r="CS156" s="135"/>
      <c r="CT156" s="135"/>
      <c r="CU156" s="135"/>
      <c r="CV156" s="135"/>
      <c r="CW156" s="135"/>
      <c r="CX156" s="135"/>
      <c r="CY156" s="135"/>
      <c r="CZ156" s="135"/>
      <c r="DA156" s="135"/>
      <c r="DB156" s="135"/>
      <c r="DC156" s="135"/>
      <c r="DD156" s="135"/>
      <c r="DE156" s="135"/>
      <c r="DF156" s="135"/>
      <c r="DG156" s="135"/>
      <c r="DH156" s="135"/>
      <c r="DI156" s="135"/>
      <c r="DJ156" s="135"/>
      <c r="DK156" s="135"/>
      <c r="DL156" s="135"/>
      <c r="DM156" s="135"/>
      <c r="DN156" s="135"/>
      <c r="DO156" s="135"/>
      <c r="DP156" s="135"/>
      <c r="DQ156" s="135"/>
      <c r="DR156" s="135"/>
      <c r="DS156" s="135"/>
      <c r="DT156" s="135"/>
      <c r="DU156" s="135"/>
      <c r="DV156" s="135"/>
      <c r="DW156" s="135"/>
      <c r="DX156" s="135"/>
      <c r="DY156" s="135"/>
      <c r="DZ156" s="135"/>
      <c r="EA156" s="135"/>
      <c r="EB156" s="135"/>
      <c r="EC156" s="135"/>
      <c r="ED156" s="135"/>
      <c r="EE156" s="135"/>
      <c r="EF156" s="135"/>
      <c r="EG156" s="135"/>
      <c r="EH156" s="135"/>
      <c r="EI156" s="135"/>
      <c r="EJ156" s="135"/>
      <c r="EK156" s="135"/>
      <c r="EL156" s="135"/>
      <c r="EM156" s="135"/>
      <c r="EN156" s="135"/>
      <c r="EO156" s="135"/>
      <c r="EP156" s="135"/>
      <c r="EQ156" s="135"/>
      <c r="ER156" s="135"/>
      <c r="ES156" s="135"/>
      <c r="ET156" s="135"/>
      <c r="EU156" s="135"/>
      <c r="EV156" s="135"/>
      <c r="EW156" s="135"/>
      <c r="EX156" s="135"/>
      <c r="EY156" s="135"/>
      <c r="EZ156" s="135"/>
      <c r="FA156" s="135"/>
      <c r="FB156" s="135"/>
    </row>
    <row r="157" spans="1:158" hidden="1" x14ac:dyDescent="0.25">
      <c r="A157" s="34" t="s">
        <v>187</v>
      </c>
      <c r="B157" s="90"/>
      <c r="C157" s="90"/>
      <c r="D157" s="178" t="e">
        <f>F157/#REF!</f>
        <v>#REF!</v>
      </c>
      <c r="E157" s="179">
        <f>E74+E141</f>
        <v>42</v>
      </c>
      <c r="F157" s="179">
        <f>F74+F141</f>
        <v>12380</v>
      </c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  <c r="Y157" s="135"/>
      <c r="Z157" s="135"/>
      <c r="AA157" s="135"/>
      <c r="AB157" s="135"/>
      <c r="AC157" s="135"/>
      <c r="AD157" s="135"/>
      <c r="AE157" s="135"/>
      <c r="AF157" s="135"/>
      <c r="AG157" s="135"/>
      <c r="AH157" s="135"/>
      <c r="AI157" s="135"/>
      <c r="AJ157" s="135"/>
      <c r="AK157" s="135"/>
      <c r="AL157" s="135"/>
      <c r="AM157" s="135"/>
      <c r="AN157" s="135"/>
      <c r="AO157" s="135"/>
      <c r="AP157" s="135"/>
      <c r="AQ157" s="135"/>
      <c r="AR157" s="135"/>
      <c r="AS157" s="135"/>
      <c r="AT157" s="135"/>
      <c r="AU157" s="135"/>
      <c r="AV157" s="135"/>
      <c r="AW157" s="135"/>
      <c r="AX157" s="135"/>
      <c r="AY157" s="135"/>
      <c r="AZ157" s="135"/>
      <c r="BA157" s="135"/>
      <c r="BB157" s="135"/>
      <c r="BC157" s="135"/>
      <c r="BD157" s="135"/>
      <c r="BE157" s="135"/>
      <c r="BF157" s="135"/>
      <c r="BG157" s="135"/>
      <c r="BH157" s="135"/>
      <c r="BI157" s="135"/>
      <c r="BJ157" s="135"/>
      <c r="BK157" s="135"/>
      <c r="BL157" s="135"/>
      <c r="BM157" s="135"/>
      <c r="BN157" s="135"/>
      <c r="BO157" s="135"/>
      <c r="BP157" s="135"/>
      <c r="BQ157" s="135"/>
      <c r="BR157" s="135"/>
      <c r="BS157" s="135"/>
      <c r="BT157" s="135"/>
      <c r="BU157" s="135"/>
      <c r="BV157" s="135"/>
      <c r="BW157" s="135"/>
      <c r="BX157" s="135"/>
      <c r="BY157" s="135"/>
      <c r="BZ157" s="135"/>
      <c r="CA157" s="135"/>
      <c r="CB157" s="135"/>
      <c r="CC157" s="135"/>
      <c r="CD157" s="135"/>
      <c r="CE157" s="135"/>
      <c r="CF157" s="135"/>
      <c r="CG157" s="135"/>
      <c r="CH157" s="135"/>
      <c r="CI157" s="135"/>
      <c r="CJ157" s="135"/>
      <c r="CK157" s="135"/>
      <c r="CL157" s="135"/>
      <c r="CM157" s="135"/>
      <c r="CN157" s="135"/>
      <c r="CO157" s="135"/>
      <c r="CP157" s="135"/>
      <c r="CQ157" s="135"/>
      <c r="CR157" s="135"/>
      <c r="CS157" s="135"/>
      <c r="CT157" s="135"/>
      <c r="CU157" s="135"/>
      <c r="CV157" s="135"/>
      <c r="CW157" s="135"/>
      <c r="CX157" s="135"/>
      <c r="CY157" s="135"/>
      <c r="CZ157" s="135"/>
      <c r="DA157" s="135"/>
      <c r="DB157" s="135"/>
      <c r="DC157" s="135"/>
      <c r="DD157" s="135"/>
      <c r="DE157" s="135"/>
      <c r="DF157" s="135"/>
      <c r="DG157" s="135"/>
      <c r="DH157" s="135"/>
      <c r="DI157" s="135"/>
      <c r="DJ157" s="135"/>
      <c r="DK157" s="135"/>
      <c r="DL157" s="135"/>
      <c r="DM157" s="135"/>
      <c r="DN157" s="135"/>
      <c r="DO157" s="135"/>
      <c r="DP157" s="135"/>
      <c r="DQ157" s="135"/>
      <c r="DR157" s="135"/>
      <c r="DS157" s="135"/>
      <c r="DT157" s="135"/>
      <c r="DU157" s="135"/>
      <c r="DV157" s="135"/>
      <c r="DW157" s="135"/>
      <c r="DX157" s="135"/>
      <c r="DY157" s="135"/>
      <c r="DZ157" s="135"/>
      <c r="EA157" s="135"/>
      <c r="EB157" s="135"/>
      <c r="EC157" s="135"/>
      <c r="ED157" s="135"/>
      <c r="EE157" s="135"/>
      <c r="EF157" s="135"/>
      <c r="EG157" s="135"/>
      <c r="EH157" s="135"/>
      <c r="EI157" s="135"/>
      <c r="EJ157" s="135"/>
      <c r="EK157" s="135"/>
      <c r="EL157" s="135"/>
      <c r="EM157" s="135"/>
      <c r="EN157" s="135"/>
      <c r="EO157" s="135"/>
      <c r="EP157" s="135"/>
      <c r="EQ157" s="135"/>
      <c r="ER157" s="135"/>
      <c r="ES157" s="135"/>
      <c r="ET157" s="135"/>
      <c r="EU157" s="135"/>
      <c r="EV157" s="135"/>
      <c r="EW157" s="135"/>
      <c r="EX157" s="135"/>
      <c r="EY157" s="135"/>
      <c r="EZ157" s="135"/>
      <c r="FA157" s="135"/>
      <c r="FB157" s="135"/>
    </row>
    <row r="158" spans="1:158" hidden="1" x14ac:dyDescent="0.25">
      <c r="A158" s="180" t="s">
        <v>20</v>
      </c>
      <c r="B158" s="90"/>
      <c r="C158" s="90"/>
      <c r="D158" s="176"/>
      <c r="E158" s="90"/>
      <c r="F158" s="90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  <c r="AB158" s="135"/>
      <c r="AC158" s="135"/>
      <c r="AD158" s="135"/>
      <c r="AE158" s="135"/>
      <c r="AF158" s="135"/>
      <c r="AG158" s="135"/>
      <c r="AH158" s="135"/>
      <c r="AI158" s="135"/>
      <c r="AJ158" s="135"/>
      <c r="AK158" s="135"/>
      <c r="AL158" s="135"/>
      <c r="AM158" s="135"/>
      <c r="AN158" s="135"/>
      <c r="AO158" s="135"/>
      <c r="AP158" s="135"/>
      <c r="AQ158" s="135"/>
      <c r="AR158" s="135"/>
      <c r="AS158" s="135"/>
      <c r="AT158" s="135"/>
      <c r="AU158" s="135"/>
      <c r="AV158" s="135"/>
      <c r="AW158" s="135"/>
      <c r="AX158" s="135"/>
      <c r="AY158" s="135"/>
      <c r="AZ158" s="135"/>
      <c r="BA158" s="135"/>
      <c r="BB158" s="135"/>
      <c r="BC158" s="135"/>
      <c r="BD158" s="135"/>
      <c r="BE158" s="135"/>
      <c r="BF158" s="135"/>
      <c r="BG158" s="135"/>
      <c r="BH158" s="135"/>
      <c r="BI158" s="135"/>
      <c r="BJ158" s="135"/>
      <c r="BK158" s="135"/>
      <c r="BL158" s="135"/>
      <c r="BM158" s="135"/>
      <c r="BN158" s="135"/>
      <c r="BO158" s="135"/>
      <c r="BP158" s="135"/>
      <c r="BQ158" s="135"/>
      <c r="BR158" s="135"/>
      <c r="BS158" s="135"/>
      <c r="BT158" s="135"/>
      <c r="BU158" s="135"/>
      <c r="BV158" s="135"/>
      <c r="BW158" s="135"/>
      <c r="BX158" s="135"/>
      <c r="BY158" s="135"/>
      <c r="BZ158" s="135"/>
      <c r="CA158" s="135"/>
      <c r="CB158" s="135"/>
      <c r="CC158" s="135"/>
      <c r="CD158" s="135"/>
      <c r="CE158" s="135"/>
      <c r="CF158" s="135"/>
      <c r="CG158" s="135"/>
      <c r="CH158" s="135"/>
      <c r="CI158" s="135"/>
      <c r="CJ158" s="135"/>
      <c r="CK158" s="135"/>
      <c r="CL158" s="135"/>
      <c r="CM158" s="135"/>
      <c r="CN158" s="135"/>
      <c r="CO158" s="135"/>
      <c r="CP158" s="135"/>
      <c r="CQ158" s="135"/>
      <c r="CR158" s="135"/>
      <c r="CS158" s="135"/>
      <c r="CT158" s="135"/>
      <c r="CU158" s="135"/>
      <c r="CV158" s="135"/>
      <c r="CW158" s="135"/>
      <c r="CX158" s="135"/>
      <c r="CY158" s="135"/>
      <c r="CZ158" s="135"/>
      <c r="DA158" s="135"/>
      <c r="DB158" s="135"/>
      <c r="DC158" s="135"/>
      <c r="DD158" s="135"/>
      <c r="DE158" s="135"/>
      <c r="DF158" s="135"/>
      <c r="DG158" s="135"/>
      <c r="DH158" s="135"/>
      <c r="DI158" s="135"/>
      <c r="DJ158" s="135"/>
      <c r="DK158" s="135"/>
      <c r="DL158" s="135"/>
      <c r="DM158" s="135"/>
      <c r="DN158" s="135"/>
      <c r="DO158" s="135"/>
      <c r="DP158" s="135"/>
      <c r="DQ158" s="135"/>
      <c r="DR158" s="135"/>
      <c r="DS158" s="135"/>
      <c r="DT158" s="135"/>
      <c r="DU158" s="135"/>
      <c r="DV158" s="135"/>
      <c r="DW158" s="135"/>
      <c r="DX158" s="135"/>
      <c r="DY158" s="135"/>
      <c r="DZ158" s="135"/>
      <c r="EA158" s="135"/>
      <c r="EB158" s="135"/>
      <c r="EC158" s="135"/>
      <c r="ED158" s="135"/>
      <c r="EE158" s="135"/>
      <c r="EF158" s="135"/>
      <c r="EG158" s="135"/>
      <c r="EH158" s="135"/>
      <c r="EI158" s="135"/>
      <c r="EJ158" s="135"/>
      <c r="EK158" s="135"/>
      <c r="EL158" s="135"/>
      <c r="EM158" s="135"/>
      <c r="EN158" s="135"/>
      <c r="EO158" s="135"/>
      <c r="EP158" s="135"/>
      <c r="EQ158" s="135"/>
      <c r="ER158" s="135"/>
      <c r="ES158" s="135"/>
      <c r="ET158" s="135"/>
      <c r="EU158" s="135"/>
      <c r="EV158" s="135"/>
      <c r="EW158" s="135"/>
      <c r="EX158" s="135"/>
      <c r="EY158" s="135"/>
      <c r="EZ158" s="135"/>
      <c r="FA158" s="135"/>
      <c r="FB158" s="135"/>
    </row>
    <row r="159" spans="1:158" hidden="1" x14ac:dyDescent="0.25">
      <c r="A159" s="1" t="s">
        <v>140</v>
      </c>
      <c r="B159" s="90"/>
      <c r="C159" s="90"/>
      <c r="D159" s="176" t="e">
        <f>F159/#REF!</f>
        <v>#REF!</v>
      </c>
      <c r="E159" s="90">
        <f>E76+E143</f>
        <v>19</v>
      </c>
      <c r="F159" s="90">
        <f>F76+F143</f>
        <v>4480</v>
      </c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  <c r="W159" s="135"/>
      <c r="X159" s="135"/>
      <c r="Y159" s="135"/>
      <c r="Z159" s="135"/>
      <c r="AA159" s="135"/>
      <c r="AB159" s="135"/>
      <c r="AC159" s="135"/>
      <c r="AD159" s="135"/>
      <c r="AE159" s="135"/>
      <c r="AF159" s="135"/>
      <c r="AG159" s="135"/>
      <c r="AH159" s="135"/>
      <c r="AI159" s="135"/>
      <c r="AJ159" s="135"/>
      <c r="AK159" s="135"/>
      <c r="AL159" s="135"/>
      <c r="AM159" s="135"/>
      <c r="AN159" s="135"/>
      <c r="AO159" s="135"/>
      <c r="AP159" s="135"/>
      <c r="AQ159" s="135"/>
      <c r="AR159" s="135"/>
      <c r="AS159" s="135"/>
      <c r="AT159" s="135"/>
      <c r="AU159" s="135"/>
      <c r="AV159" s="135"/>
      <c r="AW159" s="135"/>
      <c r="AX159" s="135"/>
      <c r="AY159" s="135"/>
      <c r="AZ159" s="135"/>
      <c r="BA159" s="135"/>
      <c r="BB159" s="135"/>
      <c r="BC159" s="135"/>
      <c r="BD159" s="135"/>
      <c r="BE159" s="135"/>
      <c r="BF159" s="135"/>
      <c r="BG159" s="135"/>
      <c r="BH159" s="135"/>
      <c r="BI159" s="135"/>
      <c r="BJ159" s="135"/>
      <c r="BK159" s="135"/>
      <c r="BL159" s="135"/>
      <c r="BM159" s="135"/>
      <c r="BN159" s="135"/>
      <c r="BO159" s="135"/>
      <c r="BP159" s="135"/>
      <c r="BQ159" s="135"/>
      <c r="BR159" s="135"/>
      <c r="BS159" s="135"/>
      <c r="BT159" s="135"/>
      <c r="BU159" s="135"/>
      <c r="BV159" s="135"/>
      <c r="BW159" s="135"/>
      <c r="BX159" s="135"/>
      <c r="BY159" s="135"/>
      <c r="BZ159" s="135"/>
      <c r="CA159" s="135"/>
      <c r="CB159" s="135"/>
      <c r="CC159" s="135"/>
      <c r="CD159" s="135"/>
      <c r="CE159" s="135"/>
      <c r="CF159" s="135"/>
      <c r="CG159" s="135"/>
      <c r="CH159" s="135"/>
      <c r="CI159" s="135"/>
      <c r="CJ159" s="135"/>
      <c r="CK159" s="135"/>
      <c r="CL159" s="135"/>
      <c r="CM159" s="135"/>
      <c r="CN159" s="135"/>
      <c r="CO159" s="135"/>
      <c r="CP159" s="135"/>
      <c r="CQ159" s="135"/>
      <c r="CR159" s="135"/>
      <c r="CS159" s="135"/>
      <c r="CT159" s="135"/>
      <c r="CU159" s="135"/>
      <c r="CV159" s="135"/>
      <c r="CW159" s="135"/>
      <c r="CX159" s="135"/>
      <c r="CY159" s="135"/>
      <c r="CZ159" s="135"/>
      <c r="DA159" s="135"/>
      <c r="DB159" s="135"/>
      <c r="DC159" s="135"/>
      <c r="DD159" s="135"/>
      <c r="DE159" s="135"/>
      <c r="DF159" s="135"/>
      <c r="DG159" s="135"/>
      <c r="DH159" s="135"/>
      <c r="DI159" s="135"/>
      <c r="DJ159" s="135"/>
      <c r="DK159" s="135"/>
      <c r="DL159" s="135"/>
      <c r="DM159" s="135"/>
      <c r="DN159" s="135"/>
      <c r="DO159" s="135"/>
      <c r="DP159" s="135"/>
      <c r="DQ159" s="135"/>
      <c r="DR159" s="135"/>
      <c r="DS159" s="135"/>
      <c r="DT159" s="135"/>
      <c r="DU159" s="135"/>
      <c r="DV159" s="135"/>
      <c r="DW159" s="135"/>
      <c r="DX159" s="135"/>
      <c r="DY159" s="135"/>
      <c r="DZ159" s="135"/>
      <c r="EA159" s="135"/>
      <c r="EB159" s="135"/>
      <c r="EC159" s="135"/>
      <c r="ED159" s="135"/>
      <c r="EE159" s="135"/>
      <c r="EF159" s="135"/>
      <c r="EG159" s="135"/>
      <c r="EH159" s="135"/>
      <c r="EI159" s="135"/>
      <c r="EJ159" s="135"/>
      <c r="EK159" s="135"/>
      <c r="EL159" s="135"/>
      <c r="EM159" s="135"/>
      <c r="EN159" s="135"/>
      <c r="EO159" s="135"/>
      <c r="EP159" s="135"/>
      <c r="EQ159" s="135"/>
      <c r="ER159" s="135"/>
      <c r="ES159" s="135"/>
      <c r="ET159" s="135"/>
      <c r="EU159" s="135"/>
      <c r="EV159" s="135"/>
      <c r="EW159" s="135"/>
      <c r="EX159" s="135"/>
      <c r="EY159" s="135"/>
      <c r="EZ159" s="135"/>
      <c r="FA159" s="135"/>
      <c r="FB159" s="135"/>
    </row>
    <row r="160" spans="1:158" hidden="1" x14ac:dyDescent="0.25">
      <c r="A160" s="1" t="s">
        <v>11</v>
      </c>
      <c r="B160" s="90"/>
      <c r="C160" s="90"/>
      <c r="D160" s="176"/>
      <c r="E160" s="90"/>
      <c r="F160" s="90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  <c r="Y160" s="135"/>
      <c r="Z160" s="135"/>
      <c r="AA160" s="135"/>
      <c r="AB160" s="135"/>
      <c r="AC160" s="135"/>
      <c r="AD160" s="135"/>
      <c r="AE160" s="135"/>
      <c r="AF160" s="135"/>
      <c r="AG160" s="135"/>
      <c r="AH160" s="135"/>
      <c r="AI160" s="135"/>
      <c r="AJ160" s="135"/>
      <c r="AK160" s="135"/>
      <c r="AL160" s="135"/>
      <c r="AM160" s="135"/>
      <c r="AN160" s="135"/>
      <c r="AO160" s="135"/>
      <c r="AP160" s="135"/>
      <c r="AQ160" s="135"/>
      <c r="AR160" s="135"/>
      <c r="AS160" s="135"/>
      <c r="AT160" s="135"/>
      <c r="AU160" s="135"/>
      <c r="AV160" s="135"/>
      <c r="AW160" s="135"/>
      <c r="AX160" s="135"/>
      <c r="AY160" s="135"/>
      <c r="AZ160" s="135"/>
      <c r="BA160" s="135"/>
      <c r="BB160" s="135"/>
      <c r="BC160" s="135"/>
      <c r="BD160" s="135"/>
      <c r="BE160" s="135"/>
      <c r="BF160" s="135"/>
      <c r="BG160" s="135"/>
      <c r="BH160" s="135"/>
      <c r="BI160" s="135"/>
      <c r="BJ160" s="135"/>
      <c r="BK160" s="135"/>
      <c r="BL160" s="135"/>
      <c r="BM160" s="135"/>
      <c r="BN160" s="135"/>
      <c r="BO160" s="135"/>
      <c r="BP160" s="135"/>
      <c r="BQ160" s="135"/>
      <c r="BR160" s="135"/>
      <c r="BS160" s="135"/>
      <c r="BT160" s="135"/>
      <c r="BU160" s="135"/>
      <c r="BV160" s="135"/>
      <c r="BW160" s="135"/>
      <c r="BX160" s="135"/>
      <c r="BY160" s="135"/>
      <c r="BZ160" s="135"/>
      <c r="CA160" s="135"/>
      <c r="CB160" s="135"/>
      <c r="CC160" s="135"/>
      <c r="CD160" s="135"/>
      <c r="CE160" s="135"/>
      <c r="CF160" s="135"/>
      <c r="CG160" s="135"/>
      <c r="CH160" s="135"/>
      <c r="CI160" s="135"/>
      <c r="CJ160" s="135"/>
      <c r="CK160" s="135"/>
      <c r="CL160" s="135"/>
      <c r="CM160" s="135"/>
      <c r="CN160" s="135"/>
      <c r="CO160" s="135"/>
      <c r="CP160" s="135"/>
      <c r="CQ160" s="135"/>
      <c r="CR160" s="135"/>
      <c r="CS160" s="135"/>
      <c r="CT160" s="135"/>
      <c r="CU160" s="135"/>
      <c r="CV160" s="135"/>
      <c r="CW160" s="135"/>
      <c r="CX160" s="135"/>
      <c r="CY160" s="135"/>
      <c r="CZ160" s="135"/>
      <c r="DA160" s="135"/>
      <c r="DB160" s="135"/>
      <c r="DC160" s="135"/>
      <c r="DD160" s="135"/>
      <c r="DE160" s="135"/>
      <c r="DF160" s="135"/>
      <c r="DG160" s="135"/>
      <c r="DH160" s="135"/>
      <c r="DI160" s="135"/>
      <c r="DJ160" s="135"/>
      <c r="DK160" s="135"/>
      <c r="DL160" s="135"/>
      <c r="DM160" s="135"/>
      <c r="DN160" s="135"/>
      <c r="DO160" s="135"/>
      <c r="DP160" s="135"/>
      <c r="DQ160" s="135"/>
      <c r="DR160" s="135"/>
      <c r="DS160" s="135"/>
      <c r="DT160" s="135"/>
      <c r="DU160" s="135"/>
      <c r="DV160" s="135"/>
      <c r="DW160" s="135"/>
      <c r="DX160" s="135"/>
      <c r="DY160" s="135"/>
      <c r="DZ160" s="135"/>
      <c r="EA160" s="135"/>
      <c r="EB160" s="135"/>
      <c r="EC160" s="135"/>
      <c r="ED160" s="135"/>
      <c r="EE160" s="135"/>
      <c r="EF160" s="135"/>
      <c r="EG160" s="135"/>
      <c r="EH160" s="135"/>
      <c r="EI160" s="135"/>
      <c r="EJ160" s="135"/>
      <c r="EK160" s="135"/>
      <c r="EL160" s="135"/>
      <c r="EM160" s="135"/>
      <c r="EN160" s="135"/>
      <c r="EO160" s="135"/>
      <c r="EP160" s="135"/>
      <c r="EQ160" s="135"/>
      <c r="ER160" s="135"/>
      <c r="ES160" s="135"/>
      <c r="ET160" s="135"/>
      <c r="EU160" s="135"/>
      <c r="EV160" s="135"/>
      <c r="EW160" s="135"/>
      <c r="EX160" s="135"/>
      <c r="EY160" s="135"/>
      <c r="EZ160" s="135"/>
      <c r="FA160" s="135"/>
      <c r="FB160" s="135"/>
    </row>
    <row r="161" spans="1:158" hidden="1" x14ac:dyDescent="0.25">
      <c r="A161" s="181" t="s">
        <v>141</v>
      </c>
      <c r="B161" s="90"/>
      <c r="C161" s="90"/>
      <c r="D161" s="176" t="e">
        <f>F161/#REF!</f>
        <v>#REF!</v>
      </c>
      <c r="E161" s="90">
        <f>E78+E146</f>
        <v>22</v>
      </c>
      <c r="F161" s="90">
        <f>F78+F146</f>
        <v>5000</v>
      </c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  <c r="AA161" s="135"/>
      <c r="AB161" s="135"/>
      <c r="AC161" s="135"/>
      <c r="AD161" s="135"/>
      <c r="AE161" s="135"/>
      <c r="AF161" s="135"/>
      <c r="AG161" s="135"/>
      <c r="AH161" s="135"/>
      <c r="AI161" s="135"/>
      <c r="AJ161" s="135"/>
      <c r="AK161" s="135"/>
      <c r="AL161" s="135"/>
      <c r="AM161" s="135"/>
      <c r="AN161" s="135"/>
      <c r="AO161" s="135"/>
      <c r="AP161" s="135"/>
      <c r="AQ161" s="135"/>
      <c r="AR161" s="135"/>
      <c r="AS161" s="135"/>
      <c r="AT161" s="135"/>
      <c r="AU161" s="135"/>
      <c r="AV161" s="135"/>
      <c r="AW161" s="135"/>
      <c r="AX161" s="135"/>
      <c r="AY161" s="135"/>
      <c r="AZ161" s="135"/>
      <c r="BA161" s="135"/>
      <c r="BB161" s="135"/>
      <c r="BC161" s="135"/>
      <c r="BD161" s="135"/>
      <c r="BE161" s="135"/>
      <c r="BF161" s="135"/>
      <c r="BG161" s="135"/>
      <c r="BH161" s="135"/>
      <c r="BI161" s="135"/>
      <c r="BJ161" s="135"/>
      <c r="BK161" s="135"/>
      <c r="BL161" s="135"/>
      <c r="BM161" s="135"/>
      <c r="BN161" s="135"/>
      <c r="BO161" s="135"/>
      <c r="BP161" s="135"/>
      <c r="BQ161" s="135"/>
      <c r="BR161" s="135"/>
      <c r="BS161" s="135"/>
      <c r="BT161" s="135"/>
      <c r="BU161" s="135"/>
      <c r="BV161" s="135"/>
      <c r="BW161" s="135"/>
      <c r="BX161" s="135"/>
      <c r="BY161" s="135"/>
      <c r="BZ161" s="135"/>
      <c r="CA161" s="135"/>
      <c r="CB161" s="135"/>
      <c r="CC161" s="135"/>
      <c r="CD161" s="135"/>
      <c r="CE161" s="135"/>
      <c r="CF161" s="135"/>
      <c r="CG161" s="135"/>
      <c r="CH161" s="135"/>
      <c r="CI161" s="135"/>
      <c r="CJ161" s="135"/>
      <c r="CK161" s="135"/>
      <c r="CL161" s="135"/>
      <c r="CM161" s="135"/>
      <c r="CN161" s="135"/>
      <c r="CO161" s="135"/>
      <c r="CP161" s="135"/>
      <c r="CQ161" s="135"/>
      <c r="CR161" s="135"/>
      <c r="CS161" s="135"/>
      <c r="CT161" s="135"/>
      <c r="CU161" s="135"/>
      <c r="CV161" s="135"/>
      <c r="CW161" s="135"/>
      <c r="CX161" s="135"/>
      <c r="CY161" s="135"/>
      <c r="CZ161" s="135"/>
      <c r="DA161" s="135"/>
      <c r="DB161" s="135"/>
      <c r="DC161" s="135"/>
      <c r="DD161" s="135"/>
      <c r="DE161" s="135"/>
      <c r="DF161" s="135"/>
      <c r="DG161" s="135"/>
      <c r="DH161" s="135"/>
      <c r="DI161" s="135"/>
      <c r="DJ161" s="135"/>
      <c r="DK161" s="135"/>
      <c r="DL161" s="135"/>
      <c r="DM161" s="135"/>
      <c r="DN161" s="135"/>
      <c r="DO161" s="135"/>
      <c r="DP161" s="135"/>
      <c r="DQ161" s="135"/>
      <c r="DR161" s="135"/>
      <c r="DS161" s="135"/>
      <c r="DT161" s="135"/>
      <c r="DU161" s="135"/>
      <c r="DV161" s="135"/>
      <c r="DW161" s="135"/>
      <c r="DX161" s="135"/>
      <c r="DY161" s="135"/>
      <c r="DZ161" s="135"/>
      <c r="EA161" s="135"/>
      <c r="EB161" s="135"/>
      <c r="EC161" s="135"/>
      <c r="ED161" s="135"/>
      <c r="EE161" s="135"/>
      <c r="EF161" s="135"/>
      <c r="EG161" s="135"/>
      <c r="EH161" s="135"/>
      <c r="EI161" s="135"/>
      <c r="EJ161" s="135"/>
      <c r="EK161" s="135"/>
      <c r="EL161" s="135"/>
      <c r="EM161" s="135"/>
      <c r="EN161" s="135"/>
      <c r="EO161" s="135"/>
      <c r="EP161" s="135"/>
      <c r="EQ161" s="135"/>
      <c r="ER161" s="135"/>
      <c r="ES161" s="135"/>
      <c r="ET161" s="135"/>
      <c r="EU161" s="135"/>
      <c r="EV161" s="135"/>
      <c r="EW161" s="135"/>
      <c r="EX161" s="135"/>
      <c r="EY161" s="135"/>
      <c r="EZ161" s="135"/>
      <c r="FA161" s="135"/>
      <c r="FB161" s="135"/>
    </row>
    <row r="162" spans="1:158" ht="18" hidden="1" customHeight="1" x14ac:dyDescent="0.25">
      <c r="A162" s="182" t="s">
        <v>188</v>
      </c>
      <c r="B162" s="91"/>
      <c r="C162" s="91"/>
      <c r="D162" s="150" t="e">
        <f>F162/#REF!</f>
        <v>#REF!</v>
      </c>
      <c r="E162" s="91">
        <f>E79+E147</f>
        <v>64</v>
      </c>
      <c r="F162" s="91">
        <f>F79+F147</f>
        <v>17380</v>
      </c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  <c r="Z162" s="135"/>
      <c r="AA162" s="135"/>
      <c r="AB162" s="135"/>
      <c r="AC162" s="135"/>
      <c r="AD162" s="135"/>
      <c r="AE162" s="135"/>
      <c r="AF162" s="135"/>
      <c r="AG162" s="135"/>
      <c r="AH162" s="135"/>
      <c r="AI162" s="135"/>
      <c r="AJ162" s="135"/>
      <c r="AK162" s="135"/>
      <c r="AL162" s="135"/>
      <c r="AM162" s="135"/>
      <c r="AN162" s="135"/>
      <c r="AO162" s="135"/>
      <c r="AP162" s="135"/>
      <c r="AQ162" s="135"/>
      <c r="AR162" s="135"/>
      <c r="AS162" s="135"/>
      <c r="AT162" s="135"/>
      <c r="AU162" s="135"/>
      <c r="AV162" s="135"/>
      <c r="AW162" s="135"/>
      <c r="AX162" s="135"/>
      <c r="AY162" s="135"/>
      <c r="AZ162" s="135"/>
      <c r="BA162" s="135"/>
      <c r="BB162" s="135"/>
      <c r="BC162" s="135"/>
      <c r="BD162" s="135"/>
      <c r="BE162" s="135"/>
      <c r="BF162" s="135"/>
      <c r="BG162" s="135"/>
      <c r="BH162" s="135"/>
      <c r="BI162" s="135"/>
      <c r="BJ162" s="135"/>
      <c r="BK162" s="135"/>
      <c r="BL162" s="135"/>
      <c r="BM162" s="135"/>
      <c r="BN162" s="135"/>
      <c r="BO162" s="135"/>
      <c r="BP162" s="135"/>
      <c r="BQ162" s="135"/>
      <c r="BR162" s="135"/>
      <c r="BS162" s="135"/>
      <c r="BT162" s="135"/>
      <c r="BU162" s="135"/>
      <c r="BV162" s="135"/>
      <c r="BW162" s="135"/>
      <c r="BX162" s="135"/>
      <c r="BY162" s="135"/>
      <c r="BZ162" s="135"/>
      <c r="CA162" s="135"/>
      <c r="CB162" s="135"/>
      <c r="CC162" s="135"/>
      <c r="CD162" s="135"/>
      <c r="CE162" s="135"/>
      <c r="CF162" s="135"/>
      <c r="CG162" s="135"/>
      <c r="CH162" s="135"/>
      <c r="CI162" s="135"/>
      <c r="CJ162" s="135"/>
      <c r="CK162" s="135"/>
      <c r="CL162" s="135"/>
      <c r="CM162" s="135"/>
      <c r="CN162" s="135"/>
      <c r="CO162" s="135"/>
      <c r="CP162" s="135"/>
      <c r="CQ162" s="135"/>
      <c r="CR162" s="135"/>
      <c r="CS162" s="135"/>
      <c r="CT162" s="135"/>
      <c r="CU162" s="135"/>
      <c r="CV162" s="135"/>
      <c r="CW162" s="135"/>
      <c r="CX162" s="135"/>
      <c r="CY162" s="135"/>
      <c r="CZ162" s="135"/>
      <c r="DA162" s="135"/>
      <c r="DB162" s="135"/>
      <c r="DC162" s="135"/>
      <c r="DD162" s="135"/>
      <c r="DE162" s="135"/>
      <c r="DF162" s="135"/>
      <c r="DG162" s="135"/>
      <c r="DH162" s="135"/>
      <c r="DI162" s="135"/>
      <c r="DJ162" s="135"/>
      <c r="DK162" s="135"/>
      <c r="DL162" s="135"/>
      <c r="DM162" s="135"/>
      <c r="DN162" s="135"/>
      <c r="DO162" s="135"/>
      <c r="DP162" s="135"/>
      <c r="DQ162" s="135"/>
      <c r="DR162" s="135"/>
      <c r="DS162" s="135"/>
      <c r="DT162" s="135"/>
      <c r="DU162" s="135"/>
      <c r="DV162" s="135"/>
      <c r="DW162" s="135"/>
      <c r="DX162" s="135"/>
      <c r="DY162" s="135"/>
      <c r="DZ162" s="135"/>
      <c r="EA162" s="135"/>
      <c r="EB162" s="135"/>
      <c r="EC162" s="135"/>
      <c r="ED162" s="135"/>
      <c r="EE162" s="135"/>
      <c r="EF162" s="135"/>
      <c r="EG162" s="135"/>
      <c r="EH162" s="135"/>
      <c r="EI162" s="135"/>
      <c r="EJ162" s="135"/>
      <c r="EK162" s="135"/>
      <c r="EL162" s="135"/>
      <c r="EM162" s="135"/>
      <c r="EN162" s="135"/>
      <c r="EO162" s="135"/>
      <c r="EP162" s="135"/>
      <c r="EQ162" s="135"/>
      <c r="ER162" s="135"/>
      <c r="ES162" s="135"/>
      <c r="ET162" s="135"/>
      <c r="EU162" s="135"/>
      <c r="EV162" s="135"/>
      <c r="EW162" s="135"/>
      <c r="EX162" s="135"/>
      <c r="EY162" s="135"/>
      <c r="EZ162" s="135"/>
      <c r="FA162" s="135"/>
      <c r="FB162" s="135"/>
    </row>
    <row r="163" spans="1:158" ht="30" hidden="1" x14ac:dyDescent="0.25">
      <c r="A163" s="183" t="s">
        <v>189</v>
      </c>
      <c r="B163" s="184"/>
      <c r="C163" s="184"/>
      <c r="D163" s="176"/>
      <c r="E163" s="184"/>
      <c r="F163" s="184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/>
      <c r="AB163" s="135"/>
      <c r="AC163" s="135"/>
      <c r="AD163" s="135"/>
      <c r="AE163" s="135"/>
      <c r="AF163" s="135"/>
      <c r="AG163" s="135"/>
      <c r="AH163" s="135"/>
      <c r="AI163" s="135"/>
      <c r="AJ163" s="135"/>
      <c r="AK163" s="135"/>
      <c r="AL163" s="135"/>
      <c r="AM163" s="135"/>
      <c r="AN163" s="135"/>
      <c r="AO163" s="135"/>
      <c r="AP163" s="135"/>
      <c r="AQ163" s="135"/>
      <c r="AR163" s="135"/>
      <c r="AS163" s="135"/>
      <c r="AT163" s="135"/>
      <c r="AU163" s="135"/>
      <c r="AV163" s="135"/>
      <c r="AW163" s="135"/>
      <c r="AX163" s="135"/>
      <c r="AY163" s="135"/>
      <c r="AZ163" s="135"/>
      <c r="BA163" s="135"/>
      <c r="BB163" s="135"/>
      <c r="BC163" s="135"/>
      <c r="BD163" s="135"/>
      <c r="BE163" s="135"/>
      <c r="BF163" s="135"/>
      <c r="BG163" s="135"/>
      <c r="BH163" s="135"/>
      <c r="BI163" s="135"/>
      <c r="BJ163" s="135"/>
      <c r="BK163" s="135"/>
      <c r="BL163" s="135"/>
      <c r="BM163" s="135"/>
      <c r="BN163" s="135"/>
      <c r="BO163" s="135"/>
      <c r="BP163" s="135"/>
      <c r="BQ163" s="135"/>
      <c r="BR163" s="135"/>
      <c r="BS163" s="135"/>
      <c r="BT163" s="135"/>
      <c r="BU163" s="135"/>
      <c r="BV163" s="135"/>
      <c r="BW163" s="135"/>
      <c r="BX163" s="135"/>
      <c r="BY163" s="135"/>
      <c r="BZ163" s="135"/>
      <c r="CA163" s="135"/>
      <c r="CB163" s="135"/>
      <c r="CC163" s="135"/>
      <c r="CD163" s="135"/>
      <c r="CE163" s="135"/>
      <c r="CF163" s="135"/>
      <c r="CG163" s="135"/>
      <c r="CH163" s="135"/>
      <c r="CI163" s="135"/>
      <c r="CJ163" s="135"/>
      <c r="CK163" s="135"/>
      <c r="CL163" s="135"/>
      <c r="CM163" s="135"/>
      <c r="CN163" s="135"/>
      <c r="CO163" s="135"/>
      <c r="CP163" s="135"/>
      <c r="CQ163" s="135"/>
      <c r="CR163" s="135"/>
      <c r="CS163" s="135"/>
      <c r="CT163" s="135"/>
      <c r="CU163" s="135"/>
      <c r="CV163" s="135"/>
      <c r="CW163" s="135"/>
      <c r="CX163" s="135"/>
      <c r="CY163" s="135"/>
      <c r="CZ163" s="135"/>
      <c r="DA163" s="135"/>
      <c r="DB163" s="135"/>
      <c r="DC163" s="135"/>
      <c r="DD163" s="135"/>
      <c r="DE163" s="135"/>
      <c r="DF163" s="135"/>
      <c r="DG163" s="135"/>
      <c r="DH163" s="135"/>
      <c r="DI163" s="135"/>
      <c r="DJ163" s="135"/>
      <c r="DK163" s="135"/>
      <c r="DL163" s="135"/>
      <c r="DM163" s="135"/>
      <c r="DN163" s="135"/>
      <c r="DO163" s="135"/>
      <c r="DP163" s="135"/>
      <c r="DQ163" s="135"/>
      <c r="DR163" s="135"/>
      <c r="DS163" s="135"/>
      <c r="DT163" s="135"/>
      <c r="DU163" s="135"/>
      <c r="DV163" s="135"/>
      <c r="DW163" s="135"/>
      <c r="DX163" s="135"/>
      <c r="DY163" s="135"/>
      <c r="DZ163" s="135"/>
      <c r="EA163" s="135"/>
      <c r="EB163" s="135"/>
      <c r="EC163" s="135"/>
      <c r="ED163" s="135"/>
      <c r="EE163" s="135"/>
      <c r="EF163" s="135"/>
      <c r="EG163" s="135"/>
      <c r="EH163" s="135"/>
      <c r="EI163" s="135"/>
      <c r="EJ163" s="135"/>
      <c r="EK163" s="135"/>
      <c r="EL163" s="135"/>
      <c r="EM163" s="135"/>
      <c r="EN163" s="135"/>
      <c r="EO163" s="135"/>
      <c r="EP163" s="135"/>
      <c r="EQ163" s="135"/>
      <c r="ER163" s="135"/>
      <c r="ES163" s="135"/>
      <c r="ET163" s="135"/>
      <c r="EU163" s="135"/>
      <c r="EV163" s="135"/>
      <c r="EW163" s="135"/>
      <c r="EX163" s="135"/>
      <c r="EY163" s="135"/>
      <c r="EZ163" s="135"/>
      <c r="FA163" s="135"/>
      <c r="FB163" s="135"/>
    </row>
    <row r="164" spans="1:158" ht="31.5" hidden="1" x14ac:dyDescent="0.25">
      <c r="A164" s="32" t="s">
        <v>165</v>
      </c>
      <c r="B164" s="184"/>
      <c r="C164" s="184"/>
      <c r="D164" s="176"/>
      <c r="E164" s="184"/>
      <c r="F164" s="184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  <c r="AB164" s="135"/>
      <c r="AC164" s="135"/>
      <c r="AD164" s="135"/>
      <c r="AE164" s="135"/>
      <c r="AF164" s="135"/>
      <c r="AG164" s="135"/>
      <c r="AH164" s="135"/>
      <c r="AI164" s="135"/>
      <c r="AJ164" s="135"/>
      <c r="AK164" s="135"/>
      <c r="AL164" s="135"/>
      <c r="AM164" s="135"/>
      <c r="AN164" s="135"/>
      <c r="AO164" s="135"/>
      <c r="AP164" s="135"/>
      <c r="AQ164" s="135"/>
      <c r="AR164" s="135"/>
      <c r="AS164" s="135"/>
      <c r="AT164" s="135"/>
      <c r="AU164" s="135"/>
      <c r="AV164" s="135"/>
      <c r="AW164" s="135"/>
      <c r="AX164" s="135"/>
      <c r="AY164" s="135"/>
      <c r="AZ164" s="135"/>
      <c r="BA164" s="135"/>
      <c r="BB164" s="135"/>
      <c r="BC164" s="135"/>
      <c r="BD164" s="135"/>
      <c r="BE164" s="135"/>
      <c r="BF164" s="135"/>
      <c r="BG164" s="135"/>
      <c r="BH164" s="135"/>
      <c r="BI164" s="135"/>
      <c r="BJ164" s="135"/>
      <c r="BK164" s="135"/>
      <c r="BL164" s="135"/>
      <c r="BM164" s="135"/>
      <c r="BN164" s="135"/>
      <c r="BO164" s="135"/>
      <c r="BP164" s="135"/>
      <c r="BQ164" s="135"/>
      <c r="BR164" s="135"/>
      <c r="BS164" s="135"/>
      <c r="BT164" s="135"/>
      <c r="BU164" s="135"/>
      <c r="BV164" s="135"/>
      <c r="BW164" s="135"/>
      <c r="BX164" s="135"/>
      <c r="BY164" s="135"/>
      <c r="BZ164" s="135"/>
      <c r="CA164" s="135"/>
      <c r="CB164" s="135"/>
      <c r="CC164" s="135"/>
      <c r="CD164" s="135"/>
      <c r="CE164" s="135"/>
      <c r="CF164" s="135"/>
      <c r="CG164" s="135"/>
      <c r="CH164" s="135"/>
      <c r="CI164" s="135"/>
      <c r="CJ164" s="135"/>
      <c r="CK164" s="135"/>
      <c r="CL164" s="135"/>
      <c r="CM164" s="135"/>
      <c r="CN164" s="135"/>
      <c r="CO164" s="135"/>
      <c r="CP164" s="135"/>
      <c r="CQ164" s="135"/>
      <c r="CR164" s="135"/>
      <c r="CS164" s="135"/>
      <c r="CT164" s="135"/>
      <c r="CU164" s="135"/>
      <c r="CV164" s="135"/>
      <c r="CW164" s="135"/>
      <c r="CX164" s="135"/>
      <c r="CY164" s="135"/>
      <c r="CZ164" s="135"/>
      <c r="DA164" s="135"/>
      <c r="DB164" s="135"/>
      <c r="DC164" s="135"/>
      <c r="DD164" s="135"/>
      <c r="DE164" s="135"/>
      <c r="DF164" s="135"/>
      <c r="DG164" s="135"/>
      <c r="DH164" s="135"/>
      <c r="DI164" s="135"/>
      <c r="DJ164" s="135"/>
      <c r="DK164" s="135"/>
      <c r="DL164" s="135"/>
      <c r="DM164" s="135"/>
      <c r="DN164" s="135"/>
      <c r="DO164" s="135"/>
      <c r="DP164" s="135"/>
      <c r="DQ164" s="135"/>
      <c r="DR164" s="135"/>
      <c r="DS164" s="135"/>
      <c r="DT164" s="135"/>
      <c r="DU164" s="135"/>
      <c r="DV164" s="135"/>
      <c r="DW164" s="135"/>
      <c r="DX164" s="135"/>
      <c r="DY164" s="135"/>
      <c r="DZ164" s="135"/>
      <c r="EA164" s="135"/>
      <c r="EB164" s="135"/>
      <c r="EC164" s="135"/>
      <c r="ED164" s="135"/>
      <c r="EE164" s="135"/>
      <c r="EF164" s="135"/>
      <c r="EG164" s="135"/>
      <c r="EH164" s="135"/>
      <c r="EI164" s="135"/>
      <c r="EJ164" s="135"/>
      <c r="EK164" s="135"/>
      <c r="EL164" s="135"/>
      <c r="EM164" s="135"/>
      <c r="EN164" s="135"/>
      <c r="EO164" s="135"/>
      <c r="EP164" s="135"/>
      <c r="EQ164" s="135"/>
      <c r="ER164" s="135"/>
      <c r="ES164" s="135"/>
      <c r="ET164" s="135"/>
      <c r="EU164" s="135"/>
      <c r="EV164" s="135"/>
      <c r="EW164" s="135"/>
      <c r="EX164" s="135"/>
      <c r="EY164" s="135"/>
      <c r="EZ164" s="135"/>
      <c r="FA164" s="135"/>
      <c r="FB164" s="135"/>
    </row>
    <row r="165" spans="1:158" ht="31.5" hidden="1" x14ac:dyDescent="0.25">
      <c r="A165" s="32" t="s">
        <v>166</v>
      </c>
      <c r="B165" s="184"/>
      <c r="C165" s="184"/>
      <c r="D165" s="176"/>
      <c r="E165" s="184"/>
      <c r="F165" s="184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  <c r="Y165" s="135"/>
      <c r="Z165" s="135"/>
      <c r="AA165" s="135"/>
      <c r="AB165" s="135"/>
      <c r="AC165" s="135"/>
      <c r="AD165" s="135"/>
      <c r="AE165" s="135"/>
      <c r="AF165" s="135"/>
      <c r="AG165" s="135"/>
      <c r="AH165" s="135"/>
      <c r="AI165" s="135"/>
      <c r="AJ165" s="135"/>
      <c r="AK165" s="135"/>
      <c r="AL165" s="135"/>
      <c r="AM165" s="135"/>
      <c r="AN165" s="135"/>
      <c r="AO165" s="135"/>
      <c r="AP165" s="135"/>
      <c r="AQ165" s="135"/>
      <c r="AR165" s="135"/>
      <c r="AS165" s="135"/>
      <c r="AT165" s="135"/>
      <c r="AU165" s="135"/>
      <c r="AV165" s="135"/>
      <c r="AW165" s="135"/>
      <c r="AX165" s="135"/>
      <c r="AY165" s="135"/>
      <c r="AZ165" s="135"/>
      <c r="BA165" s="135"/>
      <c r="BB165" s="135"/>
      <c r="BC165" s="135"/>
      <c r="BD165" s="135"/>
      <c r="BE165" s="135"/>
      <c r="BF165" s="135"/>
      <c r="BG165" s="135"/>
      <c r="BH165" s="135"/>
      <c r="BI165" s="135"/>
      <c r="BJ165" s="135"/>
      <c r="BK165" s="135"/>
      <c r="BL165" s="135"/>
      <c r="BM165" s="135"/>
      <c r="BN165" s="135"/>
      <c r="BO165" s="135"/>
      <c r="BP165" s="135"/>
      <c r="BQ165" s="135"/>
      <c r="BR165" s="135"/>
      <c r="BS165" s="135"/>
      <c r="BT165" s="135"/>
      <c r="BU165" s="135"/>
      <c r="BV165" s="135"/>
      <c r="BW165" s="135"/>
      <c r="BX165" s="135"/>
      <c r="BY165" s="135"/>
      <c r="BZ165" s="135"/>
      <c r="CA165" s="135"/>
      <c r="CB165" s="135"/>
      <c r="CC165" s="135"/>
      <c r="CD165" s="135"/>
      <c r="CE165" s="135"/>
      <c r="CF165" s="135"/>
      <c r="CG165" s="135"/>
      <c r="CH165" s="135"/>
      <c r="CI165" s="135"/>
      <c r="CJ165" s="135"/>
      <c r="CK165" s="135"/>
      <c r="CL165" s="135"/>
      <c r="CM165" s="135"/>
      <c r="CN165" s="135"/>
      <c r="CO165" s="135"/>
      <c r="CP165" s="135"/>
      <c r="CQ165" s="135"/>
      <c r="CR165" s="135"/>
      <c r="CS165" s="135"/>
      <c r="CT165" s="135"/>
      <c r="CU165" s="135"/>
      <c r="CV165" s="135"/>
      <c r="CW165" s="135"/>
      <c r="CX165" s="135"/>
      <c r="CY165" s="135"/>
      <c r="CZ165" s="135"/>
      <c r="DA165" s="135"/>
      <c r="DB165" s="135"/>
      <c r="DC165" s="135"/>
      <c r="DD165" s="135"/>
      <c r="DE165" s="135"/>
      <c r="DF165" s="135"/>
      <c r="DG165" s="135"/>
      <c r="DH165" s="135"/>
      <c r="DI165" s="135"/>
      <c r="DJ165" s="135"/>
      <c r="DK165" s="135"/>
      <c r="DL165" s="135"/>
      <c r="DM165" s="135"/>
      <c r="DN165" s="135"/>
      <c r="DO165" s="135"/>
      <c r="DP165" s="135"/>
      <c r="DQ165" s="135"/>
      <c r="DR165" s="135"/>
      <c r="DS165" s="135"/>
      <c r="DT165" s="135"/>
      <c r="DU165" s="135"/>
      <c r="DV165" s="135"/>
      <c r="DW165" s="135"/>
      <c r="DX165" s="135"/>
      <c r="DY165" s="135"/>
      <c r="DZ165" s="135"/>
      <c r="EA165" s="135"/>
      <c r="EB165" s="135"/>
      <c r="EC165" s="135"/>
      <c r="ED165" s="135"/>
      <c r="EE165" s="135"/>
      <c r="EF165" s="135"/>
      <c r="EG165" s="135"/>
      <c r="EH165" s="135"/>
      <c r="EI165" s="135"/>
      <c r="EJ165" s="135"/>
      <c r="EK165" s="135"/>
      <c r="EL165" s="135"/>
      <c r="EM165" s="135"/>
      <c r="EN165" s="135"/>
      <c r="EO165" s="135"/>
      <c r="EP165" s="135"/>
      <c r="EQ165" s="135"/>
      <c r="ER165" s="135"/>
      <c r="ES165" s="135"/>
      <c r="ET165" s="135"/>
      <c r="EU165" s="135"/>
      <c r="EV165" s="135"/>
      <c r="EW165" s="135"/>
      <c r="EX165" s="135"/>
      <c r="EY165" s="135"/>
      <c r="EZ165" s="135"/>
      <c r="FA165" s="135"/>
      <c r="FB165" s="135"/>
    </row>
    <row r="166" spans="1:158" ht="15.75" hidden="1" x14ac:dyDescent="0.25">
      <c r="A166" s="32" t="s">
        <v>191</v>
      </c>
      <c r="B166" s="184"/>
      <c r="C166" s="184"/>
      <c r="D166" s="176"/>
      <c r="E166" s="184"/>
      <c r="F166" s="184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  <c r="Y166" s="135"/>
      <c r="Z166" s="135"/>
      <c r="AA166" s="135"/>
      <c r="AB166" s="135"/>
      <c r="AC166" s="135"/>
      <c r="AD166" s="135"/>
      <c r="AE166" s="135"/>
      <c r="AF166" s="135"/>
      <c r="AG166" s="135"/>
      <c r="AH166" s="135"/>
      <c r="AI166" s="135"/>
      <c r="AJ166" s="135"/>
      <c r="AK166" s="135"/>
      <c r="AL166" s="135"/>
      <c r="AM166" s="135"/>
      <c r="AN166" s="135"/>
      <c r="AO166" s="135"/>
      <c r="AP166" s="135"/>
      <c r="AQ166" s="135"/>
      <c r="AR166" s="135"/>
      <c r="AS166" s="135"/>
      <c r="AT166" s="135"/>
      <c r="AU166" s="135"/>
      <c r="AV166" s="135"/>
      <c r="AW166" s="135"/>
      <c r="AX166" s="135"/>
      <c r="AY166" s="135"/>
      <c r="AZ166" s="135"/>
      <c r="BA166" s="135"/>
      <c r="BB166" s="135"/>
      <c r="BC166" s="135"/>
      <c r="BD166" s="135"/>
      <c r="BE166" s="135"/>
      <c r="BF166" s="135"/>
      <c r="BG166" s="135"/>
      <c r="BH166" s="135"/>
      <c r="BI166" s="135"/>
      <c r="BJ166" s="135"/>
      <c r="BK166" s="135"/>
      <c r="BL166" s="135"/>
      <c r="BM166" s="135"/>
      <c r="BN166" s="135"/>
      <c r="BO166" s="135"/>
      <c r="BP166" s="135"/>
      <c r="BQ166" s="135"/>
      <c r="BR166" s="135"/>
      <c r="BS166" s="135"/>
      <c r="BT166" s="135"/>
      <c r="BU166" s="135"/>
      <c r="BV166" s="135"/>
      <c r="BW166" s="135"/>
      <c r="BX166" s="135"/>
      <c r="BY166" s="135"/>
      <c r="BZ166" s="135"/>
      <c r="CA166" s="135"/>
      <c r="CB166" s="135"/>
      <c r="CC166" s="135"/>
      <c r="CD166" s="135"/>
      <c r="CE166" s="135"/>
      <c r="CF166" s="135"/>
      <c r="CG166" s="135"/>
      <c r="CH166" s="135"/>
      <c r="CI166" s="135"/>
      <c r="CJ166" s="135"/>
      <c r="CK166" s="135"/>
      <c r="CL166" s="135"/>
      <c r="CM166" s="135"/>
      <c r="CN166" s="135"/>
      <c r="CO166" s="135"/>
      <c r="CP166" s="135"/>
      <c r="CQ166" s="135"/>
      <c r="CR166" s="135"/>
      <c r="CS166" s="135"/>
      <c r="CT166" s="135"/>
      <c r="CU166" s="135"/>
      <c r="CV166" s="135"/>
      <c r="CW166" s="135"/>
      <c r="CX166" s="135"/>
      <c r="CY166" s="135"/>
      <c r="CZ166" s="135"/>
      <c r="DA166" s="135"/>
      <c r="DB166" s="135"/>
      <c r="DC166" s="135"/>
      <c r="DD166" s="135"/>
      <c r="DE166" s="135"/>
      <c r="DF166" s="135"/>
      <c r="DG166" s="135"/>
      <c r="DH166" s="135"/>
      <c r="DI166" s="135"/>
      <c r="DJ166" s="135"/>
      <c r="DK166" s="135"/>
      <c r="DL166" s="135"/>
      <c r="DM166" s="135"/>
      <c r="DN166" s="135"/>
      <c r="DO166" s="135"/>
      <c r="DP166" s="135"/>
      <c r="DQ166" s="135"/>
      <c r="DR166" s="135"/>
      <c r="DS166" s="135"/>
      <c r="DT166" s="135"/>
      <c r="DU166" s="135"/>
      <c r="DV166" s="135"/>
      <c r="DW166" s="135"/>
      <c r="DX166" s="135"/>
      <c r="DY166" s="135"/>
      <c r="DZ166" s="135"/>
      <c r="EA166" s="135"/>
      <c r="EB166" s="135"/>
      <c r="EC166" s="135"/>
      <c r="ED166" s="135"/>
      <c r="EE166" s="135"/>
      <c r="EF166" s="135"/>
      <c r="EG166" s="135"/>
      <c r="EH166" s="135"/>
      <c r="EI166" s="135"/>
      <c r="EJ166" s="135"/>
      <c r="EK166" s="135"/>
      <c r="EL166" s="135"/>
      <c r="EM166" s="135"/>
      <c r="EN166" s="135"/>
      <c r="EO166" s="135"/>
      <c r="EP166" s="135"/>
      <c r="EQ166" s="135"/>
      <c r="ER166" s="135"/>
      <c r="ES166" s="135"/>
      <c r="ET166" s="135"/>
      <c r="EU166" s="135"/>
      <c r="EV166" s="135"/>
      <c r="EW166" s="135"/>
      <c r="EX166" s="135"/>
      <c r="EY166" s="135"/>
      <c r="EZ166" s="135"/>
      <c r="FA166" s="135"/>
      <c r="FB166" s="135"/>
    </row>
    <row r="167" spans="1:158" ht="15.75" hidden="1" x14ac:dyDescent="0.25">
      <c r="A167" s="33" t="s">
        <v>145</v>
      </c>
      <c r="B167" s="184"/>
      <c r="C167" s="184"/>
      <c r="D167" s="176"/>
      <c r="E167" s="184"/>
      <c r="F167" s="184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35"/>
      <c r="AD167" s="135"/>
      <c r="AE167" s="135"/>
      <c r="AF167" s="135"/>
      <c r="AG167" s="135"/>
      <c r="AH167" s="135"/>
      <c r="AI167" s="135"/>
      <c r="AJ167" s="135"/>
      <c r="AK167" s="135"/>
      <c r="AL167" s="135"/>
      <c r="AM167" s="135"/>
      <c r="AN167" s="135"/>
      <c r="AO167" s="135"/>
      <c r="AP167" s="135"/>
      <c r="AQ167" s="135"/>
      <c r="AR167" s="135"/>
      <c r="AS167" s="135"/>
      <c r="AT167" s="135"/>
      <c r="AU167" s="135"/>
      <c r="AV167" s="135"/>
      <c r="AW167" s="135"/>
      <c r="AX167" s="135"/>
      <c r="AY167" s="135"/>
      <c r="AZ167" s="135"/>
      <c r="BA167" s="135"/>
      <c r="BB167" s="135"/>
      <c r="BC167" s="135"/>
      <c r="BD167" s="135"/>
      <c r="BE167" s="135"/>
      <c r="BF167" s="135"/>
      <c r="BG167" s="135"/>
      <c r="BH167" s="135"/>
      <c r="BI167" s="135"/>
      <c r="BJ167" s="135"/>
      <c r="BK167" s="135"/>
      <c r="BL167" s="135"/>
      <c r="BM167" s="135"/>
      <c r="BN167" s="135"/>
      <c r="BO167" s="135"/>
      <c r="BP167" s="135"/>
      <c r="BQ167" s="135"/>
      <c r="BR167" s="135"/>
      <c r="BS167" s="135"/>
      <c r="BT167" s="135"/>
      <c r="BU167" s="135"/>
      <c r="BV167" s="135"/>
      <c r="BW167" s="135"/>
      <c r="BX167" s="135"/>
      <c r="BY167" s="135"/>
      <c r="BZ167" s="135"/>
      <c r="CA167" s="135"/>
      <c r="CB167" s="135"/>
      <c r="CC167" s="135"/>
      <c r="CD167" s="135"/>
      <c r="CE167" s="135"/>
      <c r="CF167" s="135"/>
      <c r="CG167" s="135"/>
      <c r="CH167" s="135"/>
      <c r="CI167" s="135"/>
      <c r="CJ167" s="135"/>
      <c r="CK167" s="135"/>
      <c r="CL167" s="135"/>
      <c r="CM167" s="135"/>
      <c r="CN167" s="135"/>
      <c r="CO167" s="135"/>
      <c r="CP167" s="135"/>
      <c r="CQ167" s="135"/>
      <c r="CR167" s="135"/>
      <c r="CS167" s="135"/>
      <c r="CT167" s="135"/>
      <c r="CU167" s="135"/>
      <c r="CV167" s="135"/>
      <c r="CW167" s="135"/>
      <c r="CX167" s="135"/>
      <c r="CY167" s="135"/>
      <c r="CZ167" s="135"/>
      <c r="DA167" s="135"/>
      <c r="DB167" s="135"/>
      <c r="DC167" s="135"/>
      <c r="DD167" s="135"/>
      <c r="DE167" s="135"/>
      <c r="DF167" s="135"/>
      <c r="DG167" s="135"/>
      <c r="DH167" s="135"/>
      <c r="DI167" s="135"/>
      <c r="DJ167" s="135"/>
      <c r="DK167" s="135"/>
      <c r="DL167" s="135"/>
      <c r="DM167" s="135"/>
      <c r="DN167" s="135"/>
      <c r="DO167" s="135"/>
      <c r="DP167" s="135"/>
      <c r="DQ167" s="135"/>
      <c r="DR167" s="135"/>
      <c r="DS167" s="135"/>
      <c r="DT167" s="135"/>
      <c r="DU167" s="135"/>
      <c r="DV167" s="135"/>
      <c r="DW167" s="135"/>
      <c r="DX167" s="135"/>
      <c r="DY167" s="135"/>
      <c r="DZ167" s="135"/>
      <c r="EA167" s="135"/>
      <c r="EB167" s="135"/>
      <c r="EC167" s="135"/>
      <c r="ED167" s="135"/>
      <c r="EE167" s="135"/>
      <c r="EF167" s="135"/>
      <c r="EG167" s="135"/>
      <c r="EH167" s="135"/>
      <c r="EI167" s="135"/>
      <c r="EJ167" s="135"/>
      <c r="EK167" s="135"/>
      <c r="EL167" s="135"/>
      <c r="EM167" s="135"/>
      <c r="EN167" s="135"/>
      <c r="EO167" s="135"/>
      <c r="EP167" s="135"/>
      <c r="EQ167" s="135"/>
      <c r="ER167" s="135"/>
      <c r="ES167" s="135"/>
      <c r="ET167" s="135"/>
      <c r="EU167" s="135"/>
      <c r="EV167" s="135"/>
      <c r="EW167" s="135"/>
      <c r="EX167" s="135"/>
      <c r="EY167" s="135"/>
      <c r="EZ167" s="135"/>
      <c r="FA167" s="135"/>
      <c r="FB167" s="135"/>
    </row>
    <row r="168" spans="1:158" ht="15.75" hidden="1" x14ac:dyDescent="0.25">
      <c r="A168" s="185" t="s">
        <v>172</v>
      </c>
      <c r="B168" s="90"/>
      <c r="C168" s="90"/>
      <c r="D168" s="186"/>
      <c r="E168" s="90"/>
      <c r="F168" s="90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/>
      <c r="AB168" s="135"/>
      <c r="AC168" s="135"/>
      <c r="AD168" s="135"/>
      <c r="AE168" s="135"/>
      <c r="AF168" s="135"/>
      <c r="AG168" s="135"/>
      <c r="AH168" s="135"/>
      <c r="AI168" s="135"/>
      <c r="AJ168" s="135"/>
      <c r="AK168" s="135"/>
      <c r="AL168" s="135"/>
      <c r="AM168" s="135"/>
      <c r="AN168" s="135"/>
      <c r="AO168" s="135"/>
      <c r="AP168" s="135"/>
      <c r="AQ168" s="135"/>
      <c r="AR168" s="135"/>
      <c r="AS168" s="135"/>
      <c r="AT168" s="135"/>
      <c r="AU168" s="135"/>
      <c r="AV168" s="135"/>
      <c r="AW168" s="135"/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/>
      <c r="BT168" s="135"/>
      <c r="BU168" s="135"/>
      <c r="BV168" s="135"/>
      <c r="BW168" s="135"/>
      <c r="BX168" s="135"/>
      <c r="BY168" s="135"/>
      <c r="BZ168" s="135"/>
      <c r="CA168" s="135"/>
      <c r="CB168" s="135"/>
      <c r="CC168" s="135"/>
      <c r="CD168" s="135"/>
      <c r="CE168" s="135"/>
      <c r="CF168" s="135"/>
      <c r="CG168" s="135"/>
      <c r="CH168" s="135"/>
      <c r="CI168" s="135"/>
      <c r="CJ168" s="135"/>
      <c r="CK168" s="135"/>
      <c r="CL168" s="135"/>
      <c r="CM168" s="135"/>
      <c r="CN168" s="135"/>
      <c r="CO168" s="135"/>
      <c r="CP168" s="135"/>
      <c r="CQ168" s="135"/>
      <c r="CR168" s="135"/>
      <c r="CS168" s="135"/>
      <c r="CT168" s="135"/>
      <c r="CU168" s="135"/>
      <c r="CV168" s="135"/>
      <c r="CW168" s="135"/>
      <c r="CX168" s="135"/>
      <c r="CY168" s="135"/>
      <c r="CZ168" s="135"/>
      <c r="DA168" s="135"/>
      <c r="DB168" s="135"/>
      <c r="DC168" s="135"/>
      <c r="DD168" s="135"/>
      <c r="DE168" s="135"/>
      <c r="DF168" s="135"/>
      <c r="DG168" s="135"/>
      <c r="DH168" s="135"/>
      <c r="DI168" s="135"/>
      <c r="DJ168" s="135"/>
      <c r="DK168" s="135"/>
      <c r="DL168" s="135"/>
      <c r="DM168" s="135"/>
      <c r="DN168" s="135"/>
      <c r="DO168" s="135"/>
      <c r="DP168" s="135"/>
      <c r="DQ168" s="135"/>
      <c r="DR168" s="135"/>
      <c r="DS168" s="135"/>
      <c r="DT168" s="135"/>
      <c r="DU168" s="135"/>
      <c r="DV168" s="135"/>
      <c r="DW168" s="135"/>
      <c r="DX168" s="135"/>
      <c r="DY168" s="135"/>
      <c r="DZ168" s="135"/>
      <c r="EA168" s="135"/>
      <c r="EB168" s="135"/>
      <c r="EC168" s="135"/>
      <c r="ED168" s="135"/>
      <c r="EE168" s="135"/>
      <c r="EF168" s="135"/>
      <c r="EG168" s="135"/>
      <c r="EH168" s="135"/>
      <c r="EI168" s="135"/>
      <c r="EJ168" s="135"/>
      <c r="EK168" s="135"/>
      <c r="EL168" s="135"/>
      <c r="EM168" s="135"/>
      <c r="EN168" s="135"/>
      <c r="EO168" s="135"/>
      <c r="EP168" s="135"/>
      <c r="EQ168" s="135"/>
      <c r="ER168" s="135"/>
      <c r="ES168" s="135"/>
      <c r="ET168" s="135"/>
      <c r="EU168" s="135"/>
      <c r="EV168" s="135"/>
      <c r="EW168" s="135"/>
      <c r="EX168" s="135"/>
      <c r="EY168" s="135"/>
      <c r="EZ168" s="135"/>
      <c r="FA168" s="135"/>
      <c r="FB168" s="135"/>
    </row>
    <row r="169" spans="1:158" ht="15.75" hidden="1" x14ac:dyDescent="0.25">
      <c r="A169" s="40" t="s">
        <v>167</v>
      </c>
      <c r="B169" s="90"/>
      <c r="C169" s="90"/>
      <c r="D169" s="90"/>
      <c r="E169" s="90"/>
      <c r="F169" s="90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35"/>
      <c r="AE169" s="135"/>
      <c r="AF169" s="135"/>
      <c r="AG169" s="135"/>
      <c r="AH169" s="135"/>
      <c r="AI169" s="135"/>
      <c r="AJ169" s="135"/>
      <c r="AK169" s="135"/>
      <c r="AL169" s="135"/>
      <c r="AM169" s="135"/>
      <c r="AN169" s="135"/>
      <c r="AO169" s="135"/>
      <c r="AP169" s="135"/>
      <c r="AQ169" s="135"/>
      <c r="AR169" s="135"/>
      <c r="AS169" s="135"/>
      <c r="AT169" s="135"/>
      <c r="AU169" s="135"/>
      <c r="AV169" s="135"/>
      <c r="AW169" s="135"/>
      <c r="AX169" s="135"/>
      <c r="AY169" s="135"/>
      <c r="AZ169" s="135"/>
      <c r="BA169" s="135"/>
      <c r="BB169" s="135"/>
      <c r="BC169" s="135"/>
      <c r="BD169" s="135"/>
      <c r="BE169" s="135"/>
      <c r="BF169" s="135"/>
      <c r="BG169" s="135"/>
      <c r="BH169" s="135"/>
      <c r="BI169" s="135"/>
      <c r="BJ169" s="135"/>
      <c r="BK169" s="135"/>
      <c r="BL169" s="135"/>
      <c r="BM169" s="135"/>
      <c r="BN169" s="135"/>
      <c r="BO169" s="135"/>
      <c r="BP169" s="135"/>
      <c r="BQ169" s="135"/>
      <c r="BR169" s="135"/>
      <c r="BS169" s="135"/>
      <c r="BT169" s="135"/>
      <c r="BU169" s="135"/>
      <c r="BV169" s="135"/>
      <c r="BW169" s="135"/>
      <c r="BX169" s="135"/>
      <c r="BY169" s="135"/>
      <c r="BZ169" s="135"/>
      <c r="CA169" s="135"/>
      <c r="CB169" s="135"/>
      <c r="CC169" s="135"/>
      <c r="CD169" s="135"/>
      <c r="CE169" s="135"/>
      <c r="CF169" s="135"/>
      <c r="CG169" s="135"/>
      <c r="CH169" s="135"/>
      <c r="CI169" s="135"/>
      <c r="CJ169" s="135"/>
      <c r="CK169" s="135"/>
      <c r="CL169" s="135"/>
      <c r="CM169" s="135"/>
      <c r="CN169" s="135"/>
      <c r="CO169" s="135"/>
      <c r="CP169" s="135"/>
      <c r="CQ169" s="135"/>
      <c r="CR169" s="135"/>
      <c r="CS169" s="135"/>
      <c r="CT169" s="135"/>
      <c r="CU169" s="135"/>
      <c r="CV169" s="135"/>
      <c r="CW169" s="135"/>
      <c r="CX169" s="135"/>
      <c r="CY169" s="135"/>
      <c r="CZ169" s="135"/>
      <c r="DA169" s="135"/>
      <c r="DB169" s="135"/>
      <c r="DC169" s="135"/>
      <c r="DD169" s="135"/>
      <c r="DE169" s="135"/>
      <c r="DF169" s="135"/>
      <c r="DG169" s="135"/>
      <c r="DH169" s="135"/>
      <c r="DI169" s="135"/>
      <c r="DJ169" s="135"/>
      <c r="DK169" s="135"/>
      <c r="DL169" s="135"/>
      <c r="DM169" s="135"/>
      <c r="DN169" s="135"/>
      <c r="DO169" s="135"/>
      <c r="DP169" s="135"/>
      <c r="DQ169" s="135"/>
      <c r="DR169" s="135"/>
      <c r="DS169" s="135"/>
      <c r="DT169" s="135"/>
      <c r="DU169" s="135"/>
      <c r="DV169" s="135"/>
      <c r="DW169" s="135"/>
      <c r="DX169" s="135"/>
      <c r="DY169" s="135"/>
      <c r="DZ169" s="135"/>
      <c r="EA169" s="135"/>
      <c r="EB169" s="135"/>
      <c r="EC169" s="135"/>
      <c r="ED169" s="135"/>
      <c r="EE169" s="135"/>
      <c r="EF169" s="135"/>
      <c r="EG169" s="135"/>
      <c r="EH169" s="135"/>
      <c r="EI169" s="135"/>
      <c r="EJ169" s="135"/>
      <c r="EK169" s="135"/>
      <c r="EL169" s="135"/>
      <c r="EM169" s="135"/>
      <c r="EN169" s="135"/>
      <c r="EO169" s="135"/>
      <c r="EP169" s="135"/>
      <c r="EQ169" s="135"/>
      <c r="ER169" s="135"/>
      <c r="ES169" s="135"/>
      <c r="ET169" s="135"/>
      <c r="EU169" s="135"/>
      <c r="EV169" s="135"/>
      <c r="EW169" s="135"/>
      <c r="EX169" s="135"/>
      <c r="EY169" s="135"/>
      <c r="EZ169" s="135"/>
      <c r="FA169" s="135"/>
      <c r="FB169" s="135"/>
    </row>
    <row r="170" spans="1:158" ht="15.75" hidden="1" x14ac:dyDescent="0.25">
      <c r="A170" s="41" t="s">
        <v>168</v>
      </c>
      <c r="B170" s="90"/>
      <c r="C170" s="90"/>
      <c r="D170" s="90"/>
      <c r="E170" s="90"/>
      <c r="F170" s="90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35"/>
      <c r="X170" s="135"/>
      <c r="Y170" s="135"/>
      <c r="Z170" s="135"/>
      <c r="AA170" s="135"/>
      <c r="AB170" s="135"/>
      <c r="AC170" s="135"/>
      <c r="AD170" s="135"/>
      <c r="AE170" s="135"/>
      <c r="AF170" s="135"/>
      <c r="AG170" s="135"/>
      <c r="AH170" s="135"/>
      <c r="AI170" s="135"/>
      <c r="AJ170" s="135"/>
      <c r="AK170" s="135"/>
      <c r="AL170" s="135"/>
      <c r="AM170" s="135"/>
      <c r="AN170" s="135"/>
      <c r="AO170" s="135"/>
      <c r="AP170" s="135"/>
      <c r="AQ170" s="135"/>
      <c r="AR170" s="135"/>
      <c r="AS170" s="135"/>
      <c r="AT170" s="135"/>
      <c r="AU170" s="135"/>
      <c r="AV170" s="135"/>
      <c r="AW170" s="135"/>
      <c r="AX170" s="135"/>
      <c r="AY170" s="135"/>
      <c r="AZ170" s="135"/>
      <c r="BA170" s="135"/>
      <c r="BB170" s="135"/>
      <c r="BC170" s="135"/>
      <c r="BD170" s="135"/>
      <c r="BE170" s="135"/>
      <c r="BF170" s="135"/>
      <c r="BG170" s="135"/>
      <c r="BH170" s="135"/>
      <c r="BI170" s="135"/>
      <c r="BJ170" s="135"/>
      <c r="BK170" s="135"/>
      <c r="BL170" s="135"/>
      <c r="BM170" s="135"/>
      <c r="BN170" s="135"/>
      <c r="BO170" s="135"/>
      <c r="BP170" s="135"/>
      <c r="BQ170" s="135"/>
      <c r="BR170" s="135"/>
      <c r="BS170" s="135"/>
      <c r="BT170" s="135"/>
      <c r="BU170" s="135"/>
      <c r="BV170" s="135"/>
      <c r="BW170" s="135"/>
      <c r="BX170" s="135"/>
      <c r="BY170" s="135"/>
      <c r="BZ170" s="135"/>
      <c r="CA170" s="135"/>
      <c r="CB170" s="135"/>
      <c r="CC170" s="135"/>
      <c r="CD170" s="135"/>
      <c r="CE170" s="135"/>
      <c r="CF170" s="135"/>
      <c r="CG170" s="135"/>
      <c r="CH170" s="135"/>
      <c r="CI170" s="135"/>
      <c r="CJ170" s="135"/>
      <c r="CK170" s="135"/>
      <c r="CL170" s="135"/>
      <c r="CM170" s="135"/>
      <c r="CN170" s="135"/>
      <c r="CO170" s="135"/>
      <c r="CP170" s="135"/>
      <c r="CQ170" s="135"/>
      <c r="CR170" s="135"/>
      <c r="CS170" s="135"/>
      <c r="CT170" s="135"/>
      <c r="CU170" s="135"/>
      <c r="CV170" s="135"/>
      <c r="CW170" s="135"/>
      <c r="CX170" s="135"/>
      <c r="CY170" s="135"/>
      <c r="CZ170" s="135"/>
      <c r="DA170" s="135"/>
      <c r="DB170" s="135"/>
      <c r="DC170" s="135"/>
      <c r="DD170" s="135"/>
      <c r="DE170" s="135"/>
      <c r="DF170" s="135"/>
      <c r="DG170" s="135"/>
      <c r="DH170" s="135"/>
      <c r="DI170" s="135"/>
      <c r="DJ170" s="135"/>
      <c r="DK170" s="135"/>
      <c r="DL170" s="135"/>
      <c r="DM170" s="135"/>
      <c r="DN170" s="135"/>
      <c r="DO170" s="135"/>
      <c r="DP170" s="135"/>
      <c r="DQ170" s="135"/>
      <c r="DR170" s="135"/>
      <c r="DS170" s="135"/>
      <c r="DT170" s="135"/>
      <c r="DU170" s="135"/>
      <c r="DV170" s="135"/>
      <c r="DW170" s="135"/>
      <c r="DX170" s="135"/>
      <c r="DY170" s="135"/>
      <c r="DZ170" s="135"/>
      <c r="EA170" s="135"/>
      <c r="EB170" s="135"/>
      <c r="EC170" s="135"/>
      <c r="ED170" s="135"/>
      <c r="EE170" s="135"/>
      <c r="EF170" s="135"/>
      <c r="EG170" s="135"/>
      <c r="EH170" s="135"/>
      <c r="EI170" s="135"/>
      <c r="EJ170" s="135"/>
      <c r="EK170" s="135"/>
      <c r="EL170" s="135"/>
      <c r="EM170" s="135"/>
      <c r="EN170" s="135"/>
      <c r="EO170" s="135"/>
      <c r="EP170" s="135"/>
      <c r="EQ170" s="135"/>
      <c r="ER170" s="135"/>
      <c r="ES170" s="135"/>
      <c r="ET170" s="135"/>
      <c r="EU170" s="135"/>
      <c r="EV170" s="135"/>
      <c r="EW170" s="135"/>
      <c r="EX170" s="135"/>
      <c r="EY170" s="135"/>
      <c r="EZ170" s="135"/>
      <c r="FA170" s="135"/>
      <c r="FB170" s="135"/>
    </row>
    <row r="171" spans="1:158" ht="15.75" hidden="1" x14ac:dyDescent="0.25">
      <c r="A171" s="40" t="s">
        <v>169</v>
      </c>
      <c r="B171" s="90"/>
      <c r="C171" s="90"/>
      <c r="D171" s="90"/>
      <c r="E171" s="90"/>
      <c r="F171" s="90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  <c r="Y171" s="135"/>
      <c r="Z171" s="135"/>
      <c r="AA171" s="135"/>
      <c r="AB171" s="135"/>
      <c r="AC171" s="135"/>
      <c r="AD171" s="135"/>
      <c r="AE171" s="135"/>
      <c r="AF171" s="135"/>
      <c r="AG171" s="135"/>
      <c r="AH171" s="135"/>
      <c r="AI171" s="135"/>
      <c r="AJ171" s="135"/>
      <c r="AK171" s="135"/>
      <c r="AL171" s="135"/>
      <c r="AM171" s="135"/>
      <c r="AN171" s="135"/>
      <c r="AO171" s="135"/>
      <c r="AP171" s="135"/>
      <c r="AQ171" s="135"/>
      <c r="AR171" s="135"/>
      <c r="AS171" s="135"/>
      <c r="AT171" s="135"/>
      <c r="AU171" s="135"/>
      <c r="AV171" s="135"/>
      <c r="AW171" s="135"/>
      <c r="AX171" s="135"/>
      <c r="AY171" s="135"/>
      <c r="AZ171" s="135"/>
      <c r="BA171" s="135"/>
      <c r="BB171" s="135"/>
      <c r="BC171" s="135"/>
      <c r="BD171" s="135"/>
      <c r="BE171" s="135"/>
      <c r="BF171" s="135"/>
      <c r="BG171" s="135"/>
      <c r="BH171" s="135"/>
      <c r="BI171" s="135"/>
      <c r="BJ171" s="135"/>
      <c r="BK171" s="135"/>
      <c r="BL171" s="135"/>
      <c r="BM171" s="135"/>
      <c r="BN171" s="135"/>
      <c r="BO171" s="135"/>
      <c r="BP171" s="135"/>
      <c r="BQ171" s="135"/>
      <c r="BR171" s="135"/>
      <c r="BS171" s="135"/>
      <c r="BT171" s="135"/>
      <c r="BU171" s="135"/>
      <c r="BV171" s="135"/>
      <c r="BW171" s="135"/>
      <c r="BX171" s="135"/>
      <c r="BY171" s="135"/>
      <c r="BZ171" s="135"/>
      <c r="CA171" s="135"/>
      <c r="CB171" s="135"/>
      <c r="CC171" s="135"/>
      <c r="CD171" s="135"/>
      <c r="CE171" s="135"/>
      <c r="CF171" s="135"/>
      <c r="CG171" s="135"/>
      <c r="CH171" s="135"/>
      <c r="CI171" s="135"/>
      <c r="CJ171" s="135"/>
      <c r="CK171" s="135"/>
      <c r="CL171" s="135"/>
      <c r="CM171" s="135"/>
      <c r="CN171" s="135"/>
      <c r="CO171" s="135"/>
      <c r="CP171" s="135"/>
      <c r="CQ171" s="135"/>
      <c r="CR171" s="135"/>
      <c r="CS171" s="135"/>
      <c r="CT171" s="135"/>
      <c r="CU171" s="135"/>
      <c r="CV171" s="135"/>
      <c r="CW171" s="135"/>
      <c r="CX171" s="135"/>
      <c r="CY171" s="135"/>
      <c r="CZ171" s="135"/>
      <c r="DA171" s="135"/>
      <c r="DB171" s="135"/>
      <c r="DC171" s="135"/>
      <c r="DD171" s="135"/>
      <c r="DE171" s="135"/>
      <c r="DF171" s="135"/>
      <c r="DG171" s="135"/>
      <c r="DH171" s="135"/>
      <c r="DI171" s="135"/>
      <c r="DJ171" s="135"/>
      <c r="DK171" s="135"/>
      <c r="DL171" s="135"/>
      <c r="DM171" s="135"/>
      <c r="DN171" s="135"/>
      <c r="DO171" s="135"/>
      <c r="DP171" s="135"/>
      <c r="DQ171" s="135"/>
      <c r="DR171" s="135"/>
      <c r="DS171" s="135"/>
      <c r="DT171" s="135"/>
      <c r="DU171" s="135"/>
      <c r="DV171" s="135"/>
      <c r="DW171" s="135"/>
      <c r="DX171" s="135"/>
      <c r="DY171" s="135"/>
      <c r="DZ171" s="135"/>
      <c r="EA171" s="135"/>
      <c r="EB171" s="135"/>
      <c r="EC171" s="135"/>
      <c r="ED171" s="135"/>
      <c r="EE171" s="135"/>
      <c r="EF171" s="135"/>
      <c r="EG171" s="135"/>
      <c r="EH171" s="135"/>
      <c r="EI171" s="135"/>
      <c r="EJ171" s="135"/>
      <c r="EK171" s="135"/>
      <c r="EL171" s="135"/>
      <c r="EM171" s="135"/>
      <c r="EN171" s="135"/>
      <c r="EO171" s="135"/>
      <c r="EP171" s="135"/>
      <c r="EQ171" s="135"/>
      <c r="ER171" s="135"/>
      <c r="ES171" s="135"/>
      <c r="ET171" s="135"/>
      <c r="EU171" s="135"/>
      <c r="EV171" s="135"/>
      <c r="EW171" s="135"/>
      <c r="EX171" s="135"/>
      <c r="EY171" s="135"/>
      <c r="EZ171" s="135"/>
      <c r="FA171" s="135"/>
      <c r="FB171" s="135"/>
    </row>
    <row r="172" spans="1:158" ht="31.5" hidden="1" x14ac:dyDescent="0.25">
      <c r="A172" s="114" t="s">
        <v>170</v>
      </c>
      <c r="B172" s="90"/>
      <c r="C172" s="90"/>
      <c r="D172" s="90"/>
      <c r="E172" s="90"/>
      <c r="F172" s="90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  <c r="W172" s="135"/>
      <c r="X172" s="135"/>
      <c r="Y172" s="135"/>
      <c r="Z172" s="135"/>
      <c r="AA172" s="135"/>
      <c r="AB172" s="135"/>
      <c r="AC172" s="135"/>
      <c r="AD172" s="135"/>
      <c r="AE172" s="135"/>
      <c r="AF172" s="135"/>
      <c r="AG172" s="135"/>
      <c r="AH172" s="135"/>
      <c r="AI172" s="135"/>
      <c r="AJ172" s="135"/>
      <c r="AK172" s="135"/>
      <c r="AL172" s="135"/>
      <c r="AM172" s="135"/>
      <c r="AN172" s="135"/>
      <c r="AO172" s="135"/>
      <c r="AP172" s="135"/>
      <c r="AQ172" s="135"/>
      <c r="AR172" s="135"/>
      <c r="AS172" s="135"/>
      <c r="AT172" s="135"/>
      <c r="AU172" s="135"/>
      <c r="AV172" s="135"/>
      <c r="AW172" s="135"/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  <c r="BM172" s="135"/>
      <c r="BN172" s="135"/>
      <c r="BO172" s="135"/>
      <c r="BP172" s="135"/>
      <c r="BQ172" s="135"/>
      <c r="BR172" s="135"/>
      <c r="BS172" s="135"/>
      <c r="BT172" s="135"/>
      <c r="BU172" s="135"/>
      <c r="BV172" s="135"/>
      <c r="BW172" s="135"/>
      <c r="BX172" s="135"/>
      <c r="BY172" s="135"/>
      <c r="BZ172" s="135"/>
      <c r="CA172" s="135"/>
      <c r="CB172" s="135"/>
      <c r="CC172" s="135"/>
      <c r="CD172" s="135"/>
      <c r="CE172" s="135"/>
      <c r="CF172" s="135"/>
      <c r="CG172" s="135"/>
      <c r="CH172" s="135"/>
      <c r="CI172" s="135"/>
      <c r="CJ172" s="135"/>
      <c r="CK172" s="135"/>
      <c r="CL172" s="135"/>
      <c r="CM172" s="135"/>
      <c r="CN172" s="135"/>
      <c r="CO172" s="135"/>
      <c r="CP172" s="135"/>
      <c r="CQ172" s="135"/>
      <c r="CR172" s="135"/>
      <c r="CS172" s="135"/>
      <c r="CT172" s="135"/>
      <c r="CU172" s="135"/>
      <c r="CV172" s="135"/>
      <c r="CW172" s="135"/>
      <c r="CX172" s="135"/>
      <c r="CY172" s="135"/>
      <c r="CZ172" s="135"/>
      <c r="DA172" s="135"/>
      <c r="DB172" s="135"/>
      <c r="DC172" s="135"/>
      <c r="DD172" s="135"/>
      <c r="DE172" s="135"/>
      <c r="DF172" s="135"/>
      <c r="DG172" s="135"/>
      <c r="DH172" s="135"/>
      <c r="DI172" s="135"/>
      <c r="DJ172" s="135"/>
      <c r="DK172" s="135"/>
      <c r="DL172" s="135"/>
      <c r="DM172" s="135"/>
      <c r="DN172" s="135"/>
      <c r="DO172" s="135"/>
      <c r="DP172" s="135"/>
      <c r="DQ172" s="135"/>
      <c r="DR172" s="135"/>
      <c r="DS172" s="135"/>
      <c r="DT172" s="135"/>
      <c r="DU172" s="135"/>
      <c r="DV172" s="135"/>
      <c r="DW172" s="135"/>
      <c r="DX172" s="135"/>
      <c r="DY172" s="135"/>
      <c r="DZ172" s="135"/>
      <c r="EA172" s="135"/>
      <c r="EB172" s="135"/>
      <c r="EC172" s="135"/>
      <c r="ED172" s="135"/>
      <c r="EE172" s="135"/>
      <c r="EF172" s="135"/>
      <c r="EG172" s="135"/>
      <c r="EH172" s="135"/>
      <c r="EI172" s="135"/>
      <c r="EJ172" s="135"/>
      <c r="EK172" s="135"/>
      <c r="EL172" s="135"/>
      <c r="EM172" s="135"/>
      <c r="EN172" s="135"/>
      <c r="EO172" s="135"/>
      <c r="EP172" s="135"/>
      <c r="EQ172" s="135"/>
      <c r="ER172" s="135"/>
      <c r="ES172" s="135"/>
      <c r="ET172" s="135"/>
      <c r="EU172" s="135"/>
      <c r="EV172" s="135"/>
      <c r="EW172" s="135"/>
      <c r="EX172" s="135"/>
      <c r="EY172" s="135"/>
      <c r="EZ172" s="135"/>
      <c r="FA172" s="135"/>
      <c r="FB172" s="135"/>
    </row>
    <row r="173" spans="1:158" ht="16.5" hidden="1" thickBot="1" x14ac:dyDescent="0.3">
      <c r="A173" s="187" t="s">
        <v>171</v>
      </c>
      <c r="B173" s="188"/>
      <c r="C173" s="188"/>
      <c r="D173" s="188"/>
      <c r="E173" s="188"/>
      <c r="F173" s="188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  <c r="W173" s="135"/>
      <c r="X173" s="135"/>
      <c r="Y173" s="135"/>
      <c r="Z173" s="135"/>
      <c r="AA173" s="135"/>
      <c r="AB173" s="135"/>
      <c r="AC173" s="135"/>
      <c r="AD173" s="135"/>
      <c r="AE173" s="135"/>
      <c r="AF173" s="135"/>
      <c r="AG173" s="135"/>
      <c r="AH173" s="135"/>
      <c r="AI173" s="135"/>
      <c r="AJ173" s="135"/>
      <c r="AK173" s="135"/>
      <c r="AL173" s="135"/>
      <c r="AM173" s="135"/>
      <c r="AN173" s="135"/>
      <c r="AO173" s="135"/>
      <c r="AP173" s="135"/>
      <c r="AQ173" s="135"/>
      <c r="AR173" s="135"/>
      <c r="AS173" s="135"/>
      <c r="AT173" s="135"/>
      <c r="AU173" s="135"/>
      <c r="AV173" s="135"/>
      <c r="AW173" s="135"/>
      <c r="AX173" s="135"/>
      <c r="AY173" s="135"/>
      <c r="AZ173" s="135"/>
      <c r="BA173" s="135"/>
      <c r="BB173" s="135"/>
      <c r="BC173" s="135"/>
      <c r="BD173" s="135"/>
      <c r="BE173" s="135"/>
      <c r="BF173" s="135"/>
      <c r="BG173" s="135"/>
      <c r="BH173" s="135"/>
      <c r="BI173" s="135"/>
      <c r="BJ173" s="135"/>
      <c r="BK173" s="135"/>
      <c r="BL173" s="135"/>
      <c r="BM173" s="135"/>
      <c r="BN173" s="135"/>
      <c r="BO173" s="135"/>
      <c r="BP173" s="135"/>
      <c r="BQ173" s="135"/>
      <c r="BR173" s="135"/>
      <c r="BS173" s="135"/>
      <c r="BT173" s="135"/>
      <c r="BU173" s="135"/>
      <c r="BV173" s="135"/>
      <c r="BW173" s="135"/>
      <c r="BX173" s="135"/>
      <c r="BY173" s="135"/>
      <c r="BZ173" s="135"/>
      <c r="CA173" s="135"/>
      <c r="CB173" s="135"/>
      <c r="CC173" s="135"/>
      <c r="CD173" s="135"/>
      <c r="CE173" s="135"/>
      <c r="CF173" s="135"/>
      <c r="CG173" s="135"/>
      <c r="CH173" s="135"/>
      <c r="CI173" s="135"/>
      <c r="CJ173" s="135"/>
      <c r="CK173" s="135"/>
      <c r="CL173" s="135"/>
      <c r="CM173" s="135"/>
      <c r="CN173" s="135"/>
      <c r="CO173" s="135"/>
      <c r="CP173" s="135"/>
      <c r="CQ173" s="135"/>
      <c r="CR173" s="135"/>
      <c r="CS173" s="135"/>
      <c r="CT173" s="135"/>
      <c r="CU173" s="135"/>
      <c r="CV173" s="135"/>
      <c r="CW173" s="135"/>
      <c r="CX173" s="135"/>
      <c r="CY173" s="135"/>
      <c r="CZ173" s="135"/>
      <c r="DA173" s="135"/>
      <c r="DB173" s="135"/>
      <c r="DC173" s="135"/>
      <c r="DD173" s="135"/>
      <c r="DE173" s="135"/>
      <c r="DF173" s="135"/>
      <c r="DG173" s="135"/>
      <c r="DH173" s="135"/>
      <c r="DI173" s="135"/>
      <c r="DJ173" s="135"/>
      <c r="DK173" s="135"/>
      <c r="DL173" s="135"/>
      <c r="DM173" s="135"/>
      <c r="DN173" s="135"/>
      <c r="DO173" s="135"/>
      <c r="DP173" s="135"/>
      <c r="DQ173" s="135"/>
      <c r="DR173" s="135"/>
      <c r="DS173" s="135"/>
      <c r="DT173" s="135"/>
      <c r="DU173" s="135"/>
      <c r="DV173" s="135"/>
      <c r="DW173" s="135"/>
      <c r="DX173" s="135"/>
      <c r="DY173" s="135"/>
      <c r="DZ173" s="135"/>
      <c r="EA173" s="135"/>
      <c r="EB173" s="135"/>
      <c r="EC173" s="135"/>
      <c r="ED173" s="135"/>
      <c r="EE173" s="135"/>
      <c r="EF173" s="135"/>
      <c r="EG173" s="135"/>
      <c r="EH173" s="135"/>
      <c r="EI173" s="135"/>
      <c r="EJ173" s="135"/>
      <c r="EK173" s="135"/>
      <c r="EL173" s="135"/>
      <c r="EM173" s="135"/>
      <c r="EN173" s="135"/>
      <c r="EO173" s="135"/>
      <c r="EP173" s="135"/>
      <c r="EQ173" s="135"/>
      <c r="ER173" s="135"/>
      <c r="ES173" s="135"/>
      <c r="ET173" s="135"/>
      <c r="EU173" s="135"/>
      <c r="EV173" s="135"/>
      <c r="EW173" s="135"/>
      <c r="EX173" s="135"/>
      <c r="EY173" s="135"/>
      <c r="EZ173" s="135"/>
      <c r="FA173" s="135"/>
      <c r="FB173" s="135"/>
    </row>
    <row r="174" spans="1:158" hidden="1" x14ac:dyDescent="0.25"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/>
      <c r="AB174" s="135"/>
      <c r="AC174" s="135"/>
      <c r="AD174" s="135"/>
      <c r="AE174" s="135"/>
      <c r="AF174" s="135"/>
      <c r="AG174" s="135"/>
      <c r="AH174" s="135"/>
      <c r="AI174" s="135"/>
      <c r="AJ174" s="135"/>
      <c r="AK174" s="135"/>
      <c r="AL174" s="135"/>
      <c r="AM174" s="135"/>
      <c r="AN174" s="135"/>
      <c r="AO174" s="135"/>
      <c r="AP174" s="135"/>
      <c r="AQ174" s="135"/>
      <c r="AR174" s="135"/>
      <c r="AS174" s="135"/>
      <c r="AT174" s="135"/>
      <c r="AU174" s="135"/>
      <c r="AV174" s="135"/>
      <c r="AW174" s="135"/>
      <c r="AX174" s="135"/>
      <c r="AY174" s="135"/>
      <c r="AZ174" s="135"/>
      <c r="BA174" s="135"/>
      <c r="BB174" s="135"/>
      <c r="BC174" s="135"/>
      <c r="BD174" s="135"/>
      <c r="BE174" s="135"/>
      <c r="BF174" s="135"/>
      <c r="BG174" s="135"/>
      <c r="BH174" s="135"/>
      <c r="BI174" s="135"/>
      <c r="BJ174" s="135"/>
      <c r="BK174" s="135"/>
      <c r="BL174" s="135"/>
      <c r="BM174" s="135"/>
      <c r="BN174" s="135"/>
      <c r="BO174" s="135"/>
      <c r="BP174" s="135"/>
      <c r="BQ174" s="135"/>
      <c r="BR174" s="135"/>
      <c r="BS174" s="135"/>
      <c r="BT174" s="135"/>
      <c r="BU174" s="135"/>
      <c r="BV174" s="135"/>
      <c r="BW174" s="135"/>
      <c r="BX174" s="135"/>
      <c r="BY174" s="135"/>
      <c r="BZ174" s="135"/>
      <c r="CA174" s="135"/>
      <c r="CB174" s="135"/>
      <c r="CC174" s="135"/>
      <c r="CD174" s="135"/>
      <c r="CE174" s="135"/>
      <c r="CF174" s="135"/>
      <c r="CG174" s="135"/>
      <c r="CH174" s="135"/>
      <c r="CI174" s="135"/>
      <c r="CJ174" s="135"/>
      <c r="CK174" s="135"/>
      <c r="CL174" s="135"/>
      <c r="CM174" s="135"/>
      <c r="CN174" s="135"/>
      <c r="CO174" s="135"/>
      <c r="CP174" s="135"/>
      <c r="CQ174" s="135"/>
      <c r="CR174" s="135"/>
      <c r="CS174" s="135"/>
      <c r="CT174" s="135"/>
      <c r="CU174" s="135"/>
      <c r="CV174" s="135"/>
      <c r="CW174" s="135"/>
      <c r="CX174" s="135"/>
      <c r="CY174" s="135"/>
      <c r="CZ174" s="135"/>
      <c r="DA174" s="135"/>
      <c r="DB174" s="135"/>
      <c r="DC174" s="135"/>
      <c r="DD174" s="135"/>
      <c r="DE174" s="135"/>
      <c r="DF174" s="135"/>
      <c r="DG174" s="135"/>
      <c r="DH174" s="135"/>
      <c r="DI174" s="135"/>
      <c r="DJ174" s="135"/>
      <c r="DK174" s="135"/>
      <c r="DL174" s="135"/>
      <c r="DM174" s="135"/>
      <c r="DN174" s="135"/>
      <c r="DO174" s="135"/>
      <c r="DP174" s="135"/>
      <c r="DQ174" s="135"/>
      <c r="DR174" s="135"/>
      <c r="DS174" s="135"/>
      <c r="DT174" s="135"/>
      <c r="DU174" s="135"/>
      <c r="DV174" s="135"/>
      <c r="DW174" s="135"/>
      <c r="DX174" s="135"/>
      <c r="DY174" s="135"/>
      <c r="DZ174" s="135"/>
      <c r="EA174" s="135"/>
      <c r="EB174" s="135"/>
      <c r="EC174" s="135"/>
      <c r="ED174" s="135"/>
      <c r="EE174" s="135"/>
      <c r="EF174" s="135"/>
      <c r="EG174" s="135"/>
      <c r="EH174" s="135"/>
      <c r="EI174" s="135"/>
      <c r="EJ174" s="135"/>
      <c r="EK174" s="135"/>
      <c r="EL174" s="135"/>
      <c r="EM174" s="135"/>
      <c r="EN174" s="135"/>
      <c r="EO174" s="135"/>
      <c r="EP174" s="135"/>
      <c r="EQ174" s="135"/>
      <c r="ER174" s="135"/>
      <c r="ES174" s="135"/>
      <c r="ET174" s="135"/>
      <c r="EU174" s="135"/>
      <c r="EV174" s="135"/>
      <c r="EW174" s="135"/>
      <c r="EX174" s="135"/>
      <c r="EY174" s="135"/>
      <c r="EZ174" s="135"/>
      <c r="FA174" s="135"/>
      <c r="FB174" s="135"/>
    </row>
    <row r="175" spans="1:158" hidden="1" x14ac:dyDescent="0.25"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5"/>
      <c r="X175" s="135"/>
      <c r="Y175" s="135"/>
      <c r="Z175" s="135"/>
      <c r="AA175" s="135"/>
      <c r="AB175" s="135"/>
      <c r="AC175" s="135"/>
      <c r="AD175" s="135"/>
      <c r="AE175" s="135"/>
      <c r="AF175" s="135"/>
      <c r="AG175" s="135"/>
      <c r="AH175" s="135"/>
      <c r="AI175" s="135"/>
      <c r="AJ175" s="135"/>
      <c r="AK175" s="135"/>
      <c r="AL175" s="135"/>
      <c r="AM175" s="135"/>
      <c r="AN175" s="135"/>
      <c r="AO175" s="135"/>
      <c r="AP175" s="135"/>
      <c r="AQ175" s="135"/>
      <c r="AR175" s="135"/>
      <c r="AS175" s="135"/>
      <c r="AT175" s="135"/>
      <c r="AU175" s="135"/>
      <c r="AV175" s="135"/>
      <c r="AW175" s="135"/>
      <c r="AX175" s="135"/>
      <c r="AY175" s="135"/>
      <c r="AZ175" s="135"/>
      <c r="BA175" s="135"/>
      <c r="BB175" s="135"/>
      <c r="BC175" s="135"/>
      <c r="BD175" s="135"/>
      <c r="BE175" s="135"/>
      <c r="BF175" s="135"/>
      <c r="BG175" s="135"/>
      <c r="BH175" s="135"/>
      <c r="BI175" s="135"/>
      <c r="BJ175" s="135"/>
      <c r="BK175" s="135"/>
      <c r="BL175" s="135"/>
      <c r="BM175" s="135"/>
      <c r="BN175" s="135"/>
      <c r="BO175" s="135"/>
      <c r="BP175" s="135"/>
      <c r="BQ175" s="135"/>
      <c r="BR175" s="135"/>
      <c r="BS175" s="135"/>
      <c r="BT175" s="135"/>
      <c r="BU175" s="135"/>
      <c r="BV175" s="135"/>
      <c r="BW175" s="135"/>
      <c r="BX175" s="135"/>
      <c r="BY175" s="135"/>
      <c r="BZ175" s="135"/>
      <c r="CA175" s="135"/>
      <c r="CB175" s="135"/>
      <c r="CC175" s="135"/>
      <c r="CD175" s="135"/>
      <c r="CE175" s="135"/>
      <c r="CF175" s="135"/>
      <c r="CG175" s="135"/>
      <c r="CH175" s="135"/>
      <c r="CI175" s="135"/>
      <c r="CJ175" s="135"/>
      <c r="CK175" s="135"/>
      <c r="CL175" s="135"/>
      <c r="CM175" s="135"/>
      <c r="CN175" s="135"/>
      <c r="CO175" s="135"/>
      <c r="CP175" s="135"/>
      <c r="CQ175" s="135"/>
      <c r="CR175" s="135"/>
      <c r="CS175" s="135"/>
      <c r="CT175" s="135"/>
      <c r="CU175" s="135"/>
      <c r="CV175" s="135"/>
      <c r="CW175" s="135"/>
      <c r="CX175" s="135"/>
      <c r="CY175" s="135"/>
      <c r="CZ175" s="135"/>
      <c r="DA175" s="135"/>
      <c r="DB175" s="135"/>
      <c r="DC175" s="135"/>
      <c r="DD175" s="135"/>
      <c r="DE175" s="135"/>
      <c r="DF175" s="135"/>
      <c r="DG175" s="135"/>
      <c r="DH175" s="135"/>
      <c r="DI175" s="135"/>
      <c r="DJ175" s="135"/>
      <c r="DK175" s="135"/>
      <c r="DL175" s="135"/>
      <c r="DM175" s="135"/>
      <c r="DN175" s="135"/>
      <c r="DO175" s="135"/>
      <c r="DP175" s="135"/>
      <c r="DQ175" s="135"/>
      <c r="DR175" s="135"/>
      <c r="DS175" s="135"/>
      <c r="DT175" s="135"/>
      <c r="DU175" s="135"/>
      <c r="DV175" s="135"/>
      <c r="DW175" s="135"/>
      <c r="DX175" s="135"/>
      <c r="DY175" s="135"/>
      <c r="DZ175" s="135"/>
      <c r="EA175" s="135"/>
      <c r="EB175" s="135"/>
      <c r="EC175" s="135"/>
      <c r="ED175" s="135"/>
      <c r="EE175" s="135"/>
      <c r="EF175" s="135"/>
      <c r="EG175" s="135"/>
      <c r="EH175" s="135"/>
      <c r="EI175" s="135"/>
      <c r="EJ175" s="135"/>
      <c r="EK175" s="135"/>
      <c r="EL175" s="135"/>
      <c r="EM175" s="135"/>
      <c r="EN175" s="135"/>
      <c r="EO175" s="135"/>
      <c r="EP175" s="135"/>
      <c r="EQ175" s="135"/>
      <c r="ER175" s="135"/>
      <c r="ES175" s="135"/>
      <c r="ET175" s="135"/>
      <c r="EU175" s="135"/>
      <c r="EV175" s="135"/>
      <c r="EW175" s="135"/>
      <c r="EX175" s="135"/>
      <c r="EY175" s="135"/>
      <c r="EZ175" s="135"/>
      <c r="FA175" s="135"/>
      <c r="FB175" s="135"/>
    </row>
    <row r="176" spans="1:158" hidden="1" x14ac:dyDescent="0.25"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  <c r="Y176" s="135"/>
      <c r="Z176" s="135"/>
      <c r="AA176" s="135"/>
      <c r="AB176" s="135"/>
      <c r="AC176" s="135"/>
      <c r="AD176" s="135"/>
      <c r="AE176" s="135"/>
      <c r="AF176" s="135"/>
      <c r="AG176" s="135"/>
      <c r="AH176" s="135"/>
      <c r="AI176" s="135"/>
      <c r="AJ176" s="135"/>
      <c r="AK176" s="135"/>
      <c r="AL176" s="135"/>
      <c r="AM176" s="135"/>
      <c r="AN176" s="135"/>
      <c r="AO176" s="135"/>
      <c r="AP176" s="135"/>
      <c r="AQ176" s="135"/>
      <c r="AR176" s="135"/>
      <c r="AS176" s="135"/>
      <c r="AT176" s="135"/>
      <c r="AU176" s="135"/>
      <c r="AV176" s="135"/>
      <c r="AW176" s="135"/>
      <c r="AX176" s="135"/>
      <c r="AY176" s="135"/>
      <c r="AZ176" s="135"/>
      <c r="BA176" s="135"/>
      <c r="BB176" s="135"/>
      <c r="BC176" s="135"/>
      <c r="BD176" s="135"/>
      <c r="BE176" s="135"/>
      <c r="BF176" s="135"/>
      <c r="BG176" s="135"/>
      <c r="BH176" s="135"/>
      <c r="BI176" s="135"/>
      <c r="BJ176" s="135"/>
      <c r="BK176" s="135"/>
      <c r="BL176" s="135"/>
      <c r="BM176" s="135"/>
      <c r="BN176" s="135"/>
      <c r="BO176" s="135"/>
      <c r="BP176" s="135"/>
      <c r="BQ176" s="135"/>
      <c r="BR176" s="135"/>
      <c r="BS176" s="135"/>
      <c r="BT176" s="135"/>
      <c r="BU176" s="135"/>
      <c r="BV176" s="135"/>
      <c r="BW176" s="135"/>
      <c r="BX176" s="135"/>
      <c r="BY176" s="135"/>
      <c r="BZ176" s="135"/>
      <c r="CA176" s="135"/>
      <c r="CB176" s="135"/>
      <c r="CC176" s="135"/>
      <c r="CD176" s="135"/>
      <c r="CE176" s="135"/>
      <c r="CF176" s="135"/>
      <c r="CG176" s="135"/>
      <c r="CH176" s="135"/>
      <c r="CI176" s="135"/>
      <c r="CJ176" s="135"/>
      <c r="CK176" s="135"/>
      <c r="CL176" s="135"/>
      <c r="CM176" s="135"/>
      <c r="CN176" s="135"/>
      <c r="CO176" s="135"/>
      <c r="CP176" s="135"/>
      <c r="CQ176" s="135"/>
      <c r="CR176" s="135"/>
      <c r="CS176" s="135"/>
      <c r="CT176" s="135"/>
      <c r="CU176" s="135"/>
      <c r="CV176" s="135"/>
      <c r="CW176" s="135"/>
      <c r="CX176" s="135"/>
      <c r="CY176" s="135"/>
      <c r="CZ176" s="135"/>
      <c r="DA176" s="135"/>
      <c r="DB176" s="135"/>
      <c r="DC176" s="135"/>
      <c r="DD176" s="135"/>
      <c r="DE176" s="135"/>
      <c r="DF176" s="135"/>
      <c r="DG176" s="135"/>
      <c r="DH176" s="135"/>
      <c r="DI176" s="135"/>
      <c r="DJ176" s="135"/>
      <c r="DK176" s="135"/>
      <c r="DL176" s="135"/>
      <c r="DM176" s="135"/>
      <c r="DN176" s="135"/>
      <c r="DO176" s="135"/>
      <c r="DP176" s="135"/>
      <c r="DQ176" s="135"/>
      <c r="DR176" s="135"/>
      <c r="DS176" s="135"/>
      <c r="DT176" s="135"/>
      <c r="DU176" s="135"/>
      <c r="DV176" s="135"/>
      <c r="DW176" s="135"/>
      <c r="DX176" s="135"/>
      <c r="DY176" s="135"/>
      <c r="DZ176" s="135"/>
      <c r="EA176" s="135"/>
      <c r="EB176" s="135"/>
      <c r="EC176" s="135"/>
      <c r="ED176" s="135"/>
      <c r="EE176" s="135"/>
      <c r="EF176" s="135"/>
      <c r="EG176" s="135"/>
      <c r="EH176" s="135"/>
      <c r="EI176" s="135"/>
      <c r="EJ176" s="135"/>
      <c r="EK176" s="135"/>
      <c r="EL176" s="135"/>
      <c r="EM176" s="135"/>
      <c r="EN176" s="135"/>
      <c r="EO176" s="135"/>
      <c r="EP176" s="135"/>
      <c r="EQ176" s="135"/>
      <c r="ER176" s="135"/>
      <c r="ES176" s="135"/>
      <c r="ET176" s="135"/>
      <c r="EU176" s="135"/>
      <c r="EV176" s="135"/>
      <c r="EW176" s="135"/>
      <c r="EX176" s="135"/>
      <c r="EY176" s="135"/>
      <c r="EZ176" s="135"/>
      <c r="FA176" s="135"/>
      <c r="FB176" s="135"/>
    </row>
    <row r="177" spans="4:158" hidden="1" x14ac:dyDescent="0.25"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  <c r="Y177" s="135"/>
      <c r="Z177" s="135"/>
      <c r="AA177" s="135"/>
      <c r="AB177" s="135"/>
      <c r="AC177" s="135"/>
      <c r="AD177" s="135"/>
      <c r="AE177" s="135"/>
      <c r="AF177" s="135"/>
      <c r="AG177" s="135"/>
      <c r="AH177" s="135"/>
      <c r="AI177" s="135"/>
      <c r="AJ177" s="135"/>
      <c r="AK177" s="135"/>
      <c r="AL177" s="135"/>
      <c r="AM177" s="135"/>
      <c r="AN177" s="135"/>
      <c r="AO177" s="135"/>
      <c r="AP177" s="135"/>
      <c r="AQ177" s="135"/>
      <c r="AR177" s="135"/>
      <c r="AS177" s="135"/>
      <c r="AT177" s="135"/>
      <c r="AU177" s="135"/>
      <c r="AV177" s="135"/>
      <c r="AW177" s="135"/>
      <c r="AX177" s="135"/>
      <c r="AY177" s="135"/>
      <c r="AZ177" s="135"/>
      <c r="BA177" s="135"/>
      <c r="BB177" s="135"/>
      <c r="BC177" s="135"/>
      <c r="BD177" s="135"/>
      <c r="BE177" s="135"/>
      <c r="BF177" s="135"/>
      <c r="BG177" s="135"/>
      <c r="BH177" s="135"/>
      <c r="BI177" s="135"/>
      <c r="BJ177" s="135"/>
      <c r="BK177" s="135"/>
      <c r="BL177" s="135"/>
      <c r="BM177" s="135"/>
      <c r="BN177" s="135"/>
      <c r="BO177" s="135"/>
      <c r="BP177" s="135"/>
      <c r="BQ177" s="135"/>
      <c r="BR177" s="135"/>
      <c r="BS177" s="135"/>
      <c r="BT177" s="135"/>
      <c r="BU177" s="135"/>
      <c r="BV177" s="135"/>
      <c r="BW177" s="135"/>
      <c r="BX177" s="135"/>
      <c r="BY177" s="135"/>
      <c r="BZ177" s="135"/>
      <c r="CA177" s="135"/>
      <c r="CB177" s="135"/>
      <c r="CC177" s="135"/>
      <c r="CD177" s="135"/>
      <c r="CE177" s="135"/>
      <c r="CF177" s="135"/>
      <c r="CG177" s="135"/>
      <c r="CH177" s="135"/>
      <c r="CI177" s="135"/>
      <c r="CJ177" s="135"/>
      <c r="CK177" s="135"/>
      <c r="CL177" s="135"/>
      <c r="CM177" s="135"/>
      <c r="CN177" s="135"/>
      <c r="CO177" s="135"/>
      <c r="CP177" s="135"/>
      <c r="CQ177" s="135"/>
      <c r="CR177" s="135"/>
      <c r="CS177" s="135"/>
      <c r="CT177" s="135"/>
      <c r="CU177" s="135"/>
      <c r="CV177" s="135"/>
      <c r="CW177" s="135"/>
      <c r="CX177" s="135"/>
      <c r="CY177" s="135"/>
      <c r="CZ177" s="135"/>
      <c r="DA177" s="135"/>
      <c r="DB177" s="135"/>
      <c r="DC177" s="135"/>
      <c r="DD177" s="135"/>
      <c r="DE177" s="135"/>
      <c r="DF177" s="135"/>
      <c r="DG177" s="135"/>
      <c r="DH177" s="135"/>
      <c r="DI177" s="135"/>
      <c r="DJ177" s="135"/>
      <c r="DK177" s="135"/>
      <c r="DL177" s="135"/>
      <c r="DM177" s="135"/>
      <c r="DN177" s="135"/>
      <c r="DO177" s="135"/>
      <c r="DP177" s="135"/>
      <c r="DQ177" s="135"/>
      <c r="DR177" s="135"/>
      <c r="DS177" s="135"/>
      <c r="DT177" s="135"/>
      <c r="DU177" s="135"/>
      <c r="DV177" s="135"/>
      <c r="DW177" s="135"/>
      <c r="DX177" s="135"/>
      <c r="DY177" s="135"/>
      <c r="DZ177" s="135"/>
      <c r="EA177" s="135"/>
      <c r="EB177" s="135"/>
      <c r="EC177" s="135"/>
      <c r="ED177" s="135"/>
      <c r="EE177" s="135"/>
      <c r="EF177" s="135"/>
      <c r="EG177" s="135"/>
      <c r="EH177" s="135"/>
      <c r="EI177" s="135"/>
      <c r="EJ177" s="135"/>
      <c r="EK177" s="135"/>
      <c r="EL177" s="135"/>
      <c r="EM177" s="135"/>
      <c r="EN177" s="135"/>
      <c r="EO177" s="135"/>
      <c r="EP177" s="135"/>
      <c r="EQ177" s="135"/>
      <c r="ER177" s="135"/>
      <c r="ES177" s="135"/>
      <c r="ET177" s="135"/>
      <c r="EU177" s="135"/>
      <c r="EV177" s="135"/>
      <c r="EW177" s="135"/>
      <c r="EX177" s="135"/>
      <c r="EY177" s="135"/>
      <c r="EZ177" s="135"/>
      <c r="FA177" s="135"/>
      <c r="FB177" s="135"/>
    </row>
    <row r="178" spans="4:158" hidden="1" x14ac:dyDescent="0.25"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  <c r="W178" s="135"/>
      <c r="X178" s="135"/>
      <c r="Y178" s="135"/>
      <c r="Z178" s="135"/>
      <c r="AA178" s="135"/>
      <c r="AB178" s="135"/>
      <c r="AC178" s="135"/>
      <c r="AD178" s="135"/>
      <c r="AE178" s="135"/>
      <c r="AF178" s="135"/>
      <c r="AG178" s="135"/>
      <c r="AH178" s="135"/>
      <c r="AI178" s="135"/>
      <c r="AJ178" s="135"/>
      <c r="AK178" s="135"/>
      <c r="AL178" s="135"/>
      <c r="AM178" s="135"/>
      <c r="AN178" s="135"/>
      <c r="AO178" s="135"/>
      <c r="AP178" s="135"/>
      <c r="AQ178" s="135"/>
      <c r="AR178" s="135"/>
      <c r="AS178" s="135"/>
      <c r="AT178" s="135"/>
      <c r="AU178" s="135"/>
      <c r="AV178" s="135"/>
      <c r="AW178" s="135"/>
      <c r="AX178" s="135"/>
      <c r="AY178" s="135"/>
      <c r="AZ178" s="135"/>
      <c r="BA178" s="135"/>
      <c r="BB178" s="135"/>
      <c r="BC178" s="135"/>
      <c r="BD178" s="135"/>
      <c r="BE178" s="135"/>
      <c r="BF178" s="135"/>
      <c r="BG178" s="135"/>
      <c r="BH178" s="135"/>
      <c r="BI178" s="135"/>
      <c r="BJ178" s="135"/>
      <c r="BK178" s="135"/>
      <c r="BL178" s="135"/>
      <c r="BM178" s="135"/>
      <c r="BN178" s="135"/>
      <c r="BO178" s="135"/>
      <c r="BP178" s="135"/>
      <c r="BQ178" s="135"/>
      <c r="BR178" s="135"/>
      <c r="BS178" s="135"/>
      <c r="BT178" s="135"/>
      <c r="BU178" s="135"/>
      <c r="BV178" s="135"/>
      <c r="BW178" s="135"/>
      <c r="BX178" s="135"/>
      <c r="BY178" s="135"/>
      <c r="BZ178" s="135"/>
      <c r="CA178" s="135"/>
      <c r="CB178" s="135"/>
      <c r="CC178" s="135"/>
      <c r="CD178" s="135"/>
      <c r="CE178" s="135"/>
      <c r="CF178" s="135"/>
      <c r="CG178" s="135"/>
      <c r="CH178" s="135"/>
      <c r="CI178" s="135"/>
      <c r="CJ178" s="135"/>
      <c r="CK178" s="135"/>
      <c r="CL178" s="135"/>
      <c r="CM178" s="135"/>
      <c r="CN178" s="135"/>
      <c r="CO178" s="135"/>
      <c r="CP178" s="135"/>
      <c r="CQ178" s="135"/>
      <c r="CR178" s="135"/>
      <c r="CS178" s="135"/>
      <c r="CT178" s="135"/>
      <c r="CU178" s="135"/>
      <c r="CV178" s="135"/>
      <c r="CW178" s="135"/>
      <c r="CX178" s="135"/>
      <c r="CY178" s="135"/>
      <c r="CZ178" s="135"/>
      <c r="DA178" s="135"/>
      <c r="DB178" s="135"/>
      <c r="DC178" s="135"/>
      <c r="DD178" s="135"/>
      <c r="DE178" s="135"/>
      <c r="DF178" s="135"/>
      <c r="DG178" s="135"/>
      <c r="DH178" s="135"/>
      <c r="DI178" s="135"/>
      <c r="DJ178" s="135"/>
      <c r="DK178" s="135"/>
      <c r="DL178" s="135"/>
      <c r="DM178" s="135"/>
      <c r="DN178" s="135"/>
      <c r="DO178" s="135"/>
      <c r="DP178" s="135"/>
      <c r="DQ178" s="135"/>
      <c r="DR178" s="135"/>
      <c r="DS178" s="135"/>
      <c r="DT178" s="135"/>
      <c r="DU178" s="135"/>
      <c r="DV178" s="135"/>
      <c r="DW178" s="135"/>
      <c r="DX178" s="135"/>
      <c r="DY178" s="135"/>
      <c r="DZ178" s="135"/>
      <c r="EA178" s="135"/>
      <c r="EB178" s="135"/>
      <c r="EC178" s="135"/>
      <c r="ED178" s="135"/>
      <c r="EE178" s="135"/>
      <c r="EF178" s="135"/>
      <c r="EG178" s="135"/>
      <c r="EH178" s="135"/>
      <c r="EI178" s="135"/>
      <c r="EJ178" s="135"/>
      <c r="EK178" s="135"/>
      <c r="EL178" s="135"/>
      <c r="EM178" s="135"/>
      <c r="EN178" s="135"/>
      <c r="EO178" s="135"/>
      <c r="EP178" s="135"/>
      <c r="EQ178" s="135"/>
      <c r="ER178" s="135"/>
      <c r="ES178" s="135"/>
      <c r="ET178" s="135"/>
      <c r="EU178" s="135"/>
      <c r="EV178" s="135"/>
      <c r="EW178" s="135"/>
      <c r="EX178" s="135"/>
      <c r="EY178" s="135"/>
      <c r="EZ178" s="135"/>
      <c r="FA178" s="135"/>
      <c r="FB178" s="135"/>
    </row>
    <row r="179" spans="4:158" hidden="1" x14ac:dyDescent="0.25"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  <c r="W179" s="135"/>
      <c r="X179" s="135"/>
      <c r="Y179" s="135"/>
      <c r="Z179" s="135"/>
      <c r="AA179" s="135"/>
      <c r="AB179" s="135"/>
      <c r="AC179" s="135"/>
      <c r="AD179" s="135"/>
      <c r="AE179" s="135"/>
      <c r="AF179" s="135"/>
      <c r="AG179" s="135"/>
      <c r="AH179" s="135"/>
      <c r="AI179" s="135"/>
      <c r="AJ179" s="135"/>
      <c r="AK179" s="135"/>
      <c r="AL179" s="135"/>
      <c r="AM179" s="135"/>
      <c r="AN179" s="135"/>
      <c r="AO179" s="135"/>
      <c r="AP179" s="135"/>
      <c r="AQ179" s="135"/>
      <c r="AR179" s="135"/>
      <c r="AS179" s="135"/>
      <c r="AT179" s="135"/>
      <c r="AU179" s="135"/>
      <c r="AV179" s="135"/>
      <c r="AW179" s="135"/>
      <c r="AX179" s="135"/>
      <c r="AY179" s="135"/>
      <c r="AZ179" s="135"/>
      <c r="BA179" s="135"/>
      <c r="BB179" s="135"/>
      <c r="BC179" s="135"/>
      <c r="BD179" s="135"/>
      <c r="BE179" s="135"/>
      <c r="BF179" s="135"/>
      <c r="BG179" s="135"/>
      <c r="BH179" s="135"/>
      <c r="BI179" s="135"/>
      <c r="BJ179" s="135"/>
      <c r="BK179" s="135"/>
      <c r="BL179" s="135"/>
      <c r="BM179" s="135"/>
      <c r="BN179" s="135"/>
      <c r="BO179" s="135"/>
      <c r="BP179" s="135"/>
      <c r="BQ179" s="135"/>
      <c r="BR179" s="135"/>
      <c r="BS179" s="135"/>
      <c r="BT179" s="135"/>
      <c r="BU179" s="135"/>
      <c r="BV179" s="135"/>
      <c r="BW179" s="135"/>
      <c r="BX179" s="135"/>
      <c r="BY179" s="135"/>
      <c r="BZ179" s="135"/>
      <c r="CA179" s="135"/>
      <c r="CB179" s="135"/>
      <c r="CC179" s="135"/>
      <c r="CD179" s="135"/>
      <c r="CE179" s="135"/>
      <c r="CF179" s="135"/>
      <c r="CG179" s="135"/>
      <c r="CH179" s="135"/>
      <c r="CI179" s="135"/>
      <c r="CJ179" s="135"/>
      <c r="CK179" s="135"/>
      <c r="CL179" s="135"/>
      <c r="CM179" s="135"/>
      <c r="CN179" s="135"/>
      <c r="CO179" s="135"/>
      <c r="CP179" s="135"/>
      <c r="CQ179" s="135"/>
      <c r="CR179" s="135"/>
      <c r="CS179" s="135"/>
      <c r="CT179" s="135"/>
      <c r="CU179" s="135"/>
      <c r="CV179" s="135"/>
      <c r="CW179" s="135"/>
      <c r="CX179" s="135"/>
      <c r="CY179" s="135"/>
      <c r="CZ179" s="135"/>
      <c r="DA179" s="135"/>
      <c r="DB179" s="135"/>
      <c r="DC179" s="135"/>
      <c r="DD179" s="135"/>
      <c r="DE179" s="135"/>
      <c r="DF179" s="135"/>
      <c r="DG179" s="135"/>
      <c r="DH179" s="135"/>
      <c r="DI179" s="135"/>
      <c r="DJ179" s="135"/>
      <c r="DK179" s="135"/>
      <c r="DL179" s="135"/>
      <c r="DM179" s="135"/>
      <c r="DN179" s="135"/>
      <c r="DO179" s="135"/>
      <c r="DP179" s="135"/>
      <c r="DQ179" s="135"/>
      <c r="DR179" s="135"/>
      <c r="DS179" s="135"/>
      <c r="DT179" s="135"/>
      <c r="DU179" s="135"/>
      <c r="DV179" s="135"/>
      <c r="DW179" s="135"/>
      <c r="DX179" s="135"/>
      <c r="DY179" s="135"/>
      <c r="DZ179" s="135"/>
      <c r="EA179" s="135"/>
      <c r="EB179" s="135"/>
      <c r="EC179" s="135"/>
      <c r="ED179" s="135"/>
      <c r="EE179" s="135"/>
      <c r="EF179" s="135"/>
      <c r="EG179" s="135"/>
      <c r="EH179" s="135"/>
      <c r="EI179" s="135"/>
      <c r="EJ179" s="135"/>
      <c r="EK179" s="135"/>
      <c r="EL179" s="135"/>
      <c r="EM179" s="135"/>
      <c r="EN179" s="135"/>
      <c r="EO179" s="135"/>
      <c r="EP179" s="135"/>
      <c r="EQ179" s="135"/>
      <c r="ER179" s="135"/>
      <c r="ES179" s="135"/>
      <c r="ET179" s="135"/>
      <c r="EU179" s="135"/>
      <c r="EV179" s="135"/>
      <c r="EW179" s="135"/>
      <c r="EX179" s="135"/>
      <c r="EY179" s="135"/>
      <c r="EZ179" s="135"/>
      <c r="FA179" s="135"/>
      <c r="FB179" s="135"/>
    </row>
    <row r="180" spans="4:158" hidden="1" x14ac:dyDescent="0.25"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  <c r="Y180" s="135"/>
      <c r="Z180" s="135"/>
      <c r="AA180" s="135"/>
      <c r="AB180" s="135"/>
      <c r="AC180" s="135"/>
      <c r="AD180" s="135"/>
      <c r="AE180" s="135"/>
      <c r="AF180" s="135"/>
      <c r="AG180" s="135"/>
      <c r="AH180" s="135"/>
      <c r="AI180" s="135"/>
      <c r="AJ180" s="135"/>
      <c r="AK180" s="135"/>
      <c r="AL180" s="135"/>
      <c r="AM180" s="135"/>
      <c r="AN180" s="135"/>
      <c r="AO180" s="135"/>
      <c r="AP180" s="135"/>
      <c r="AQ180" s="135"/>
      <c r="AR180" s="135"/>
      <c r="AS180" s="135"/>
      <c r="AT180" s="135"/>
      <c r="AU180" s="135"/>
      <c r="AV180" s="135"/>
      <c r="AW180" s="135"/>
      <c r="AX180" s="135"/>
      <c r="AY180" s="135"/>
      <c r="AZ180" s="135"/>
      <c r="BA180" s="135"/>
      <c r="BB180" s="135"/>
      <c r="BC180" s="135"/>
      <c r="BD180" s="135"/>
      <c r="BE180" s="135"/>
      <c r="BF180" s="135"/>
      <c r="BG180" s="135"/>
      <c r="BH180" s="135"/>
      <c r="BI180" s="135"/>
      <c r="BJ180" s="135"/>
      <c r="BK180" s="135"/>
      <c r="BL180" s="135"/>
      <c r="BM180" s="135"/>
      <c r="BN180" s="135"/>
      <c r="BO180" s="135"/>
      <c r="BP180" s="135"/>
      <c r="BQ180" s="135"/>
      <c r="BR180" s="135"/>
      <c r="BS180" s="135"/>
      <c r="BT180" s="135"/>
      <c r="BU180" s="135"/>
      <c r="BV180" s="135"/>
      <c r="BW180" s="135"/>
      <c r="BX180" s="135"/>
      <c r="BY180" s="135"/>
      <c r="BZ180" s="135"/>
      <c r="CA180" s="135"/>
      <c r="CB180" s="135"/>
      <c r="CC180" s="135"/>
      <c r="CD180" s="135"/>
      <c r="CE180" s="135"/>
      <c r="CF180" s="135"/>
      <c r="CG180" s="135"/>
      <c r="CH180" s="135"/>
      <c r="CI180" s="135"/>
      <c r="CJ180" s="135"/>
      <c r="CK180" s="135"/>
      <c r="CL180" s="135"/>
      <c r="CM180" s="135"/>
      <c r="CN180" s="135"/>
      <c r="CO180" s="135"/>
      <c r="CP180" s="135"/>
      <c r="CQ180" s="135"/>
      <c r="CR180" s="135"/>
      <c r="CS180" s="135"/>
      <c r="CT180" s="135"/>
      <c r="CU180" s="135"/>
      <c r="CV180" s="135"/>
      <c r="CW180" s="135"/>
      <c r="CX180" s="135"/>
      <c r="CY180" s="135"/>
      <c r="CZ180" s="135"/>
      <c r="DA180" s="135"/>
      <c r="DB180" s="135"/>
      <c r="DC180" s="135"/>
      <c r="DD180" s="135"/>
      <c r="DE180" s="135"/>
      <c r="DF180" s="135"/>
      <c r="DG180" s="135"/>
      <c r="DH180" s="135"/>
      <c r="DI180" s="135"/>
      <c r="DJ180" s="135"/>
      <c r="DK180" s="135"/>
      <c r="DL180" s="135"/>
      <c r="DM180" s="135"/>
      <c r="DN180" s="135"/>
      <c r="DO180" s="135"/>
      <c r="DP180" s="135"/>
      <c r="DQ180" s="135"/>
      <c r="DR180" s="135"/>
      <c r="DS180" s="135"/>
      <c r="DT180" s="135"/>
      <c r="DU180" s="135"/>
      <c r="DV180" s="135"/>
      <c r="DW180" s="135"/>
      <c r="DX180" s="135"/>
      <c r="DY180" s="135"/>
      <c r="DZ180" s="135"/>
      <c r="EA180" s="135"/>
      <c r="EB180" s="135"/>
      <c r="EC180" s="135"/>
      <c r="ED180" s="135"/>
      <c r="EE180" s="135"/>
      <c r="EF180" s="135"/>
      <c r="EG180" s="135"/>
      <c r="EH180" s="135"/>
      <c r="EI180" s="135"/>
      <c r="EJ180" s="135"/>
      <c r="EK180" s="135"/>
      <c r="EL180" s="135"/>
      <c r="EM180" s="135"/>
      <c r="EN180" s="135"/>
      <c r="EO180" s="135"/>
      <c r="EP180" s="135"/>
      <c r="EQ180" s="135"/>
      <c r="ER180" s="135"/>
      <c r="ES180" s="135"/>
      <c r="ET180" s="135"/>
      <c r="EU180" s="135"/>
      <c r="EV180" s="135"/>
      <c r="EW180" s="135"/>
      <c r="EX180" s="135"/>
      <c r="EY180" s="135"/>
      <c r="EZ180" s="135"/>
      <c r="FA180" s="135"/>
      <c r="FB180" s="135"/>
    </row>
    <row r="181" spans="4:158" hidden="1" x14ac:dyDescent="0.25"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35"/>
      <c r="AD181" s="135"/>
      <c r="AE181" s="135"/>
      <c r="AF181" s="135"/>
      <c r="AG181" s="135"/>
      <c r="AH181" s="135"/>
      <c r="AI181" s="135"/>
      <c r="AJ181" s="135"/>
      <c r="AK181" s="135"/>
      <c r="AL181" s="135"/>
      <c r="AM181" s="135"/>
      <c r="AN181" s="135"/>
      <c r="AO181" s="135"/>
      <c r="AP181" s="135"/>
      <c r="AQ181" s="135"/>
      <c r="AR181" s="135"/>
      <c r="AS181" s="135"/>
      <c r="AT181" s="135"/>
      <c r="AU181" s="135"/>
      <c r="AV181" s="135"/>
      <c r="AW181" s="135"/>
      <c r="AX181" s="135"/>
      <c r="AY181" s="135"/>
      <c r="AZ181" s="135"/>
      <c r="BA181" s="135"/>
      <c r="BB181" s="135"/>
      <c r="BC181" s="135"/>
      <c r="BD181" s="135"/>
      <c r="BE181" s="135"/>
      <c r="BF181" s="135"/>
      <c r="BG181" s="135"/>
      <c r="BH181" s="135"/>
      <c r="BI181" s="135"/>
      <c r="BJ181" s="135"/>
      <c r="BK181" s="135"/>
      <c r="BL181" s="135"/>
      <c r="BM181" s="135"/>
      <c r="BN181" s="135"/>
      <c r="BO181" s="135"/>
      <c r="BP181" s="135"/>
      <c r="BQ181" s="135"/>
      <c r="BR181" s="135"/>
      <c r="BS181" s="135"/>
      <c r="BT181" s="135"/>
      <c r="BU181" s="135"/>
      <c r="BV181" s="135"/>
      <c r="BW181" s="135"/>
      <c r="BX181" s="135"/>
      <c r="BY181" s="135"/>
      <c r="BZ181" s="135"/>
      <c r="CA181" s="135"/>
      <c r="CB181" s="135"/>
      <c r="CC181" s="135"/>
      <c r="CD181" s="135"/>
      <c r="CE181" s="135"/>
      <c r="CF181" s="135"/>
      <c r="CG181" s="135"/>
      <c r="CH181" s="135"/>
      <c r="CI181" s="135"/>
      <c r="CJ181" s="135"/>
      <c r="CK181" s="135"/>
      <c r="CL181" s="135"/>
      <c r="CM181" s="135"/>
      <c r="CN181" s="135"/>
      <c r="CO181" s="135"/>
      <c r="CP181" s="135"/>
      <c r="CQ181" s="135"/>
      <c r="CR181" s="135"/>
      <c r="CS181" s="135"/>
      <c r="CT181" s="135"/>
      <c r="CU181" s="135"/>
      <c r="CV181" s="135"/>
      <c r="CW181" s="135"/>
      <c r="CX181" s="135"/>
      <c r="CY181" s="135"/>
      <c r="CZ181" s="135"/>
      <c r="DA181" s="135"/>
      <c r="DB181" s="135"/>
      <c r="DC181" s="135"/>
      <c r="DD181" s="135"/>
      <c r="DE181" s="135"/>
      <c r="DF181" s="135"/>
      <c r="DG181" s="135"/>
      <c r="DH181" s="135"/>
      <c r="DI181" s="135"/>
      <c r="DJ181" s="135"/>
      <c r="DK181" s="135"/>
      <c r="DL181" s="135"/>
      <c r="DM181" s="135"/>
      <c r="DN181" s="135"/>
      <c r="DO181" s="135"/>
      <c r="DP181" s="135"/>
      <c r="DQ181" s="135"/>
      <c r="DR181" s="135"/>
      <c r="DS181" s="135"/>
      <c r="DT181" s="135"/>
      <c r="DU181" s="135"/>
      <c r="DV181" s="135"/>
      <c r="DW181" s="135"/>
      <c r="DX181" s="135"/>
      <c r="DY181" s="135"/>
      <c r="DZ181" s="135"/>
      <c r="EA181" s="135"/>
      <c r="EB181" s="135"/>
      <c r="EC181" s="135"/>
      <c r="ED181" s="135"/>
      <c r="EE181" s="135"/>
      <c r="EF181" s="135"/>
      <c r="EG181" s="135"/>
      <c r="EH181" s="135"/>
      <c r="EI181" s="135"/>
      <c r="EJ181" s="135"/>
      <c r="EK181" s="135"/>
      <c r="EL181" s="135"/>
      <c r="EM181" s="135"/>
      <c r="EN181" s="135"/>
      <c r="EO181" s="135"/>
      <c r="EP181" s="135"/>
      <c r="EQ181" s="135"/>
      <c r="ER181" s="135"/>
      <c r="ES181" s="135"/>
      <c r="ET181" s="135"/>
      <c r="EU181" s="135"/>
      <c r="EV181" s="135"/>
      <c r="EW181" s="135"/>
      <c r="EX181" s="135"/>
      <c r="EY181" s="135"/>
      <c r="EZ181" s="135"/>
      <c r="FA181" s="135"/>
      <c r="FB181" s="135"/>
    </row>
    <row r="182" spans="4:158" hidden="1" x14ac:dyDescent="0.25"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  <c r="W182" s="135"/>
      <c r="X182" s="135"/>
      <c r="Y182" s="135"/>
      <c r="Z182" s="135"/>
      <c r="AA182" s="135"/>
      <c r="AB182" s="135"/>
      <c r="AC182" s="135"/>
      <c r="AD182" s="135"/>
      <c r="AE182" s="135"/>
      <c r="AF182" s="135"/>
      <c r="AG182" s="135"/>
      <c r="AH182" s="135"/>
      <c r="AI182" s="135"/>
      <c r="AJ182" s="135"/>
      <c r="AK182" s="135"/>
      <c r="AL182" s="135"/>
      <c r="AM182" s="135"/>
      <c r="AN182" s="135"/>
      <c r="AO182" s="135"/>
      <c r="AP182" s="135"/>
      <c r="AQ182" s="135"/>
      <c r="AR182" s="135"/>
      <c r="AS182" s="135"/>
      <c r="AT182" s="135"/>
      <c r="AU182" s="135"/>
      <c r="AV182" s="135"/>
      <c r="AW182" s="135"/>
      <c r="AX182" s="135"/>
      <c r="AY182" s="135"/>
      <c r="AZ182" s="135"/>
      <c r="BA182" s="135"/>
      <c r="BB182" s="135"/>
      <c r="BC182" s="135"/>
      <c r="BD182" s="135"/>
      <c r="BE182" s="135"/>
      <c r="BF182" s="135"/>
      <c r="BG182" s="135"/>
      <c r="BH182" s="135"/>
      <c r="BI182" s="135"/>
      <c r="BJ182" s="135"/>
      <c r="BK182" s="135"/>
      <c r="BL182" s="135"/>
      <c r="BM182" s="135"/>
      <c r="BN182" s="135"/>
      <c r="BO182" s="135"/>
      <c r="BP182" s="135"/>
      <c r="BQ182" s="135"/>
      <c r="BR182" s="135"/>
      <c r="BS182" s="135"/>
      <c r="BT182" s="135"/>
      <c r="BU182" s="135"/>
      <c r="BV182" s="135"/>
      <c r="BW182" s="135"/>
      <c r="BX182" s="135"/>
      <c r="BY182" s="135"/>
      <c r="BZ182" s="135"/>
      <c r="CA182" s="135"/>
      <c r="CB182" s="135"/>
      <c r="CC182" s="135"/>
      <c r="CD182" s="135"/>
      <c r="CE182" s="135"/>
      <c r="CF182" s="135"/>
      <c r="CG182" s="135"/>
      <c r="CH182" s="135"/>
      <c r="CI182" s="135"/>
      <c r="CJ182" s="135"/>
      <c r="CK182" s="135"/>
      <c r="CL182" s="135"/>
      <c r="CM182" s="135"/>
      <c r="CN182" s="135"/>
      <c r="CO182" s="135"/>
      <c r="CP182" s="135"/>
      <c r="CQ182" s="135"/>
      <c r="CR182" s="135"/>
      <c r="CS182" s="135"/>
      <c r="CT182" s="135"/>
      <c r="CU182" s="135"/>
      <c r="CV182" s="135"/>
      <c r="CW182" s="135"/>
      <c r="CX182" s="135"/>
      <c r="CY182" s="135"/>
      <c r="CZ182" s="135"/>
      <c r="DA182" s="135"/>
      <c r="DB182" s="135"/>
      <c r="DC182" s="135"/>
      <c r="DD182" s="135"/>
      <c r="DE182" s="135"/>
      <c r="DF182" s="135"/>
      <c r="DG182" s="135"/>
      <c r="DH182" s="135"/>
      <c r="DI182" s="135"/>
      <c r="DJ182" s="135"/>
      <c r="DK182" s="135"/>
      <c r="DL182" s="135"/>
      <c r="DM182" s="135"/>
      <c r="DN182" s="135"/>
      <c r="DO182" s="135"/>
      <c r="DP182" s="135"/>
      <c r="DQ182" s="135"/>
      <c r="DR182" s="135"/>
      <c r="DS182" s="135"/>
      <c r="DT182" s="135"/>
      <c r="DU182" s="135"/>
      <c r="DV182" s="135"/>
      <c r="DW182" s="135"/>
      <c r="DX182" s="135"/>
      <c r="DY182" s="135"/>
      <c r="DZ182" s="135"/>
      <c r="EA182" s="135"/>
      <c r="EB182" s="135"/>
      <c r="EC182" s="135"/>
      <c r="ED182" s="135"/>
      <c r="EE182" s="135"/>
      <c r="EF182" s="135"/>
      <c r="EG182" s="135"/>
      <c r="EH182" s="135"/>
      <c r="EI182" s="135"/>
      <c r="EJ182" s="135"/>
      <c r="EK182" s="135"/>
      <c r="EL182" s="135"/>
      <c r="EM182" s="135"/>
      <c r="EN182" s="135"/>
      <c r="EO182" s="135"/>
      <c r="EP182" s="135"/>
      <c r="EQ182" s="135"/>
      <c r="ER182" s="135"/>
      <c r="ES182" s="135"/>
      <c r="ET182" s="135"/>
      <c r="EU182" s="135"/>
      <c r="EV182" s="135"/>
      <c r="EW182" s="135"/>
      <c r="EX182" s="135"/>
      <c r="EY182" s="135"/>
      <c r="EZ182" s="135"/>
      <c r="FA182" s="135"/>
      <c r="FB182" s="135"/>
    </row>
    <row r="183" spans="4:158" hidden="1" x14ac:dyDescent="0.25"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  <c r="AB183" s="135"/>
      <c r="AC183" s="135"/>
      <c r="AD183" s="135"/>
      <c r="AE183" s="135"/>
      <c r="AF183" s="135"/>
      <c r="AG183" s="135"/>
      <c r="AH183" s="135"/>
      <c r="AI183" s="135"/>
      <c r="AJ183" s="135"/>
      <c r="AK183" s="135"/>
      <c r="AL183" s="135"/>
      <c r="AM183" s="135"/>
      <c r="AN183" s="135"/>
      <c r="AO183" s="135"/>
      <c r="AP183" s="135"/>
      <c r="AQ183" s="135"/>
      <c r="AR183" s="135"/>
      <c r="AS183" s="135"/>
      <c r="AT183" s="135"/>
      <c r="AU183" s="135"/>
      <c r="AV183" s="135"/>
      <c r="AW183" s="135"/>
      <c r="AX183" s="135"/>
      <c r="AY183" s="135"/>
      <c r="AZ183" s="135"/>
      <c r="BA183" s="135"/>
      <c r="BB183" s="135"/>
      <c r="BC183" s="135"/>
      <c r="BD183" s="135"/>
      <c r="BE183" s="135"/>
      <c r="BF183" s="135"/>
      <c r="BG183" s="135"/>
      <c r="BH183" s="135"/>
      <c r="BI183" s="135"/>
      <c r="BJ183" s="135"/>
      <c r="BK183" s="135"/>
      <c r="BL183" s="135"/>
      <c r="BM183" s="135"/>
      <c r="BN183" s="135"/>
      <c r="BO183" s="135"/>
      <c r="BP183" s="135"/>
      <c r="BQ183" s="135"/>
      <c r="BR183" s="135"/>
      <c r="BS183" s="135"/>
      <c r="BT183" s="135"/>
      <c r="BU183" s="135"/>
      <c r="BV183" s="135"/>
      <c r="BW183" s="135"/>
      <c r="BX183" s="135"/>
      <c r="BY183" s="135"/>
      <c r="BZ183" s="135"/>
      <c r="CA183" s="135"/>
      <c r="CB183" s="135"/>
      <c r="CC183" s="135"/>
      <c r="CD183" s="135"/>
      <c r="CE183" s="135"/>
      <c r="CF183" s="135"/>
      <c r="CG183" s="135"/>
      <c r="CH183" s="135"/>
      <c r="CI183" s="135"/>
      <c r="CJ183" s="135"/>
      <c r="CK183" s="135"/>
      <c r="CL183" s="135"/>
      <c r="CM183" s="135"/>
      <c r="CN183" s="135"/>
      <c r="CO183" s="135"/>
      <c r="CP183" s="135"/>
      <c r="CQ183" s="135"/>
      <c r="CR183" s="135"/>
      <c r="CS183" s="135"/>
      <c r="CT183" s="135"/>
      <c r="CU183" s="135"/>
      <c r="CV183" s="135"/>
      <c r="CW183" s="135"/>
      <c r="CX183" s="135"/>
      <c r="CY183" s="135"/>
      <c r="CZ183" s="135"/>
      <c r="DA183" s="135"/>
      <c r="DB183" s="135"/>
      <c r="DC183" s="135"/>
      <c r="DD183" s="135"/>
      <c r="DE183" s="135"/>
      <c r="DF183" s="135"/>
      <c r="DG183" s="135"/>
      <c r="DH183" s="135"/>
      <c r="DI183" s="135"/>
      <c r="DJ183" s="135"/>
      <c r="DK183" s="135"/>
      <c r="DL183" s="135"/>
      <c r="DM183" s="135"/>
      <c r="DN183" s="135"/>
      <c r="DO183" s="135"/>
      <c r="DP183" s="135"/>
      <c r="DQ183" s="135"/>
      <c r="DR183" s="135"/>
      <c r="DS183" s="135"/>
      <c r="DT183" s="135"/>
      <c r="DU183" s="135"/>
      <c r="DV183" s="135"/>
      <c r="DW183" s="135"/>
      <c r="DX183" s="135"/>
      <c r="DY183" s="135"/>
      <c r="DZ183" s="135"/>
      <c r="EA183" s="135"/>
      <c r="EB183" s="135"/>
      <c r="EC183" s="135"/>
      <c r="ED183" s="135"/>
      <c r="EE183" s="135"/>
      <c r="EF183" s="135"/>
      <c r="EG183" s="135"/>
      <c r="EH183" s="135"/>
      <c r="EI183" s="135"/>
      <c r="EJ183" s="135"/>
      <c r="EK183" s="135"/>
      <c r="EL183" s="135"/>
      <c r="EM183" s="135"/>
      <c r="EN183" s="135"/>
      <c r="EO183" s="135"/>
      <c r="EP183" s="135"/>
      <c r="EQ183" s="135"/>
      <c r="ER183" s="135"/>
      <c r="ES183" s="135"/>
      <c r="ET183" s="135"/>
      <c r="EU183" s="135"/>
      <c r="EV183" s="135"/>
      <c r="EW183" s="135"/>
      <c r="EX183" s="135"/>
      <c r="EY183" s="135"/>
      <c r="EZ183" s="135"/>
      <c r="FA183" s="135"/>
      <c r="FB183" s="135"/>
    </row>
    <row r="184" spans="4:158" hidden="1" x14ac:dyDescent="0.25"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  <c r="AB184" s="135"/>
      <c r="AC184" s="135"/>
      <c r="AD184" s="135"/>
      <c r="AE184" s="135"/>
      <c r="AF184" s="135"/>
      <c r="AG184" s="135"/>
      <c r="AH184" s="135"/>
      <c r="AI184" s="135"/>
      <c r="AJ184" s="135"/>
      <c r="AK184" s="135"/>
      <c r="AL184" s="135"/>
      <c r="AM184" s="135"/>
      <c r="AN184" s="135"/>
      <c r="AO184" s="135"/>
      <c r="AP184" s="135"/>
      <c r="AQ184" s="135"/>
      <c r="AR184" s="135"/>
      <c r="AS184" s="135"/>
      <c r="AT184" s="135"/>
      <c r="AU184" s="135"/>
      <c r="AV184" s="135"/>
      <c r="AW184" s="135"/>
      <c r="AX184" s="135"/>
      <c r="AY184" s="135"/>
      <c r="AZ184" s="135"/>
      <c r="BA184" s="135"/>
      <c r="BB184" s="135"/>
      <c r="BC184" s="135"/>
      <c r="BD184" s="135"/>
      <c r="BE184" s="135"/>
      <c r="BF184" s="135"/>
      <c r="BG184" s="135"/>
      <c r="BH184" s="135"/>
      <c r="BI184" s="135"/>
      <c r="BJ184" s="135"/>
      <c r="BK184" s="135"/>
      <c r="BL184" s="135"/>
      <c r="BM184" s="135"/>
      <c r="BN184" s="135"/>
      <c r="BO184" s="135"/>
      <c r="BP184" s="135"/>
      <c r="BQ184" s="135"/>
      <c r="BR184" s="135"/>
      <c r="BS184" s="135"/>
      <c r="BT184" s="135"/>
      <c r="BU184" s="135"/>
      <c r="BV184" s="135"/>
      <c r="BW184" s="135"/>
      <c r="BX184" s="135"/>
      <c r="BY184" s="135"/>
      <c r="BZ184" s="135"/>
      <c r="CA184" s="135"/>
      <c r="CB184" s="135"/>
      <c r="CC184" s="135"/>
      <c r="CD184" s="135"/>
      <c r="CE184" s="135"/>
      <c r="CF184" s="135"/>
      <c r="CG184" s="135"/>
      <c r="CH184" s="135"/>
      <c r="CI184" s="135"/>
      <c r="CJ184" s="135"/>
      <c r="CK184" s="135"/>
      <c r="CL184" s="135"/>
      <c r="CM184" s="135"/>
      <c r="CN184" s="135"/>
      <c r="CO184" s="135"/>
      <c r="CP184" s="135"/>
      <c r="CQ184" s="135"/>
      <c r="CR184" s="135"/>
      <c r="CS184" s="135"/>
      <c r="CT184" s="135"/>
      <c r="CU184" s="135"/>
      <c r="CV184" s="135"/>
      <c r="CW184" s="135"/>
      <c r="CX184" s="135"/>
      <c r="CY184" s="135"/>
      <c r="CZ184" s="135"/>
      <c r="DA184" s="135"/>
      <c r="DB184" s="135"/>
      <c r="DC184" s="135"/>
      <c r="DD184" s="135"/>
      <c r="DE184" s="135"/>
      <c r="DF184" s="135"/>
      <c r="DG184" s="135"/>
      <c r="DH184" s="135"/>
      <c r="DI184" s="135"/>
      <c r="DJ184" s="135"/>
      <c r="DK184" s="135"/>
      <c r="DL184" s="135"/>
      <c r="DM184" s="135"/>
      <c r="DN184" s="135"/>
      <c r="DO184" s="135"/>
      <c r="DP184" s="135"/>
      <c r="DQ184" s="135"/>
      <c r="DR184" s="135"/>
      <c r="DS184" s="135"/>
      <c r="DT184" s="135"/>
      <c r="DU184" s="135"/>
      <c r="DV184" s="135"/>
      <c r="DW184" s="135"/>
      <c r="DX184" s="135"/>
      <c r="DY184" s="135"/>
      <c r="DZ184" s="135"/>
      <c r="EA184" s="135"/>
      <c r="EB184" s="135"/>
      <c r="EC184" s="135"/>
      <c r="ED184" s="135"/>
      <c r="EE184" s="135"/>
      <c r="EF184" s="135"/>
      <c r="EG184" s="135"/>
      <c r="EH184" s="135"/>
      <c r="EI184" s="135"/>
      <c r="EJ184" s="135"/>
      <c r="EK184" s="135"/>
      <c r="EL184" s="135"/>
      <c r="EM184" s="135"/>
      <c r="EN184" s="135"/>
      <c r="EO184" s="135"/>
      <c r="EP184" s="135"/>
      <c r="EQ184" s="135"/>
      <c r="ER184" s="135"/>
      <c r="ES184" s="135"/>
      <c r="ET184" s="135"/>
      <c r="EU184" s="135"/>
      <c r="EV184" s="135"/>
      <c r="EW184" s="135"/>
      <c r="EX184" s="135"/>
      <c r="EY184" s="135"/>
      <c r="EZ184" s="135"/>
      <c r="FA184" s="135"/>
      <c r="FB184" s="135"/>
    </row>
    <row r="185" spans="4:158" hidden="1" x14ac:dyDescent="0.25"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  <c r="Y185" s="135"/>
      <c r="Z185" s="135"/>
      <c r="AA185" s="135"/>
      <c r="AB185" s="135"/>
      <c r="AC185" s="135"/>
      <c r="AD185" s="135"/>
      <c r="AE185" s="135"/>
      <c r="AF185" s="135"/>
      <c r="AG185" s="135"/>
      <c r="AH185" s="135"/>
      <c r="AI185" s="135"/>
      <c r="AJ185" s="135"/>
      <c r="AK185" s="135"/>
      <c r="AL185" s="135"/>
      <c r="AM185" s="135"/>
      <c r="AN185" s="135"/>
      <c r="AO185" s="135"/>
      <c r="AP185" s="135"/>
      <c r="AQ185" s="135"/>
      <c r="AR185" s="135"/>
      <c r="AS185" s="135"/>
      <c r="AT185" s="135"/>
      <c r="AU185" s="135"/>
      <c r="AV185" s="135"/>
      <c r="AW185" s="135"/>
      <c r="AX185" s="135"/>
      <c r="AY185" s="135"/>
      <c r="AZ185" s="135"/>
      <c r="BA185" s="135"/>
      <c r="BB185" s="135"/>
      <c r="BC185" s="135"/>
      <c r="BD185" s="135"/>
      <c r="BE185" s="135"/>
      <c r="BF185" s="135"/>
      <c r="BG185" s="135"/>
      <c r="BH185" s="135"/>
      <c r="BI185" s="135"/>
      <c r="BJ185" s="135"/>
      <c r="BK185" s="135"/>
      <c r="BL185" s="135"/>
      <c r="BM185" s="135"/>
      <c r="BN185" s="135"/>
      <c r="BO185" s="135"/>
      <c r="BP185" s="135"/>
      <c r="BQ185" s="135"/>
      <c r="BR185" s="135"/>
      <c r="BS185" s="135"/>
      <c r="BT185" s="135"/>
      <c r="BU185" s="135"/>
      <c r="BV185" s="135"/>
      <c r="BW185" s="135"/>
      <c r="BX185" s="135"/>
      <c r="BY185" s="135"/>
      <c r="BZ185" s="135"/>
      <c r="CA185" s="135"/>
      <c r="CB185" s="135"/>
      <c r="CC185" s="135"/>
      <c r="CD185" s="135"/>
      <c r="CE185" s="135"/>
      <c r="CF185" s="135"/>
      <c r="CG185" s="135"/>
      <c r="CH185" s="135"/>
      <c r="CI185" s="135"/>
      <c r="CJ185" s="135"/>
      <c r="CK185" s="135"/>
      <c r="CL185" s="135"/>
      <c r="CM185" s="135"/>
      <c r="CN185" s="135"/>
      <c r="CO185" s="135"/>
      <c r="CP185" s="135"/>
      <c r="CQ185" s="135"/>
      <c r="CR185" s="135"/>
      <c r="CS185" s="135"/>
      <c r="CT185" s="135"/>
      <c r="CU185" s="135"/>
      <c r="CV185" s="135"/>
      <c r="CW185" s="135"/>
      <c r="CX185" s="135"/>
      <c r="CY185" s="135"/>
      <c r="CZ185" s="135"/>
      <c r="DA185" s="135"/>
      <c r="DB185" s="135"/>
      <c r="DC185" s="135"/>
      <c r="DD185" s="135"/>
      <c r="DE185" s="135"/>
      <c r="DF185" s="135"/>
      <c r="DG185" s="135"/>
      <c r="DH185" s="135"/>
      <c r="DI185" s="135"/>
      <c r="DJ185" s="135"/>
      <c r="DK185" s="135"/>
      <c r="DL185" s="135"/>
      <c r="DM185" s="135"/>
      <c r="DN185" s="135"/>
      <c r="DO185" s="135"/>
      <c r="DP185" s="135"/>
      <c r="DQ185" s="135"/>
      <c r="DR185" s="135"/>
      <c r="DS185" s="135"/>
      <c r="DT185" s="135"/>
      <c r="DU185" s="135"/>
      <c r="DV185" s="135"/>
      <c r="DW185" s="135"/>
      <c r="DX185" s="135"/>
      <c r="DY185" s="135"/>
      <c r="DZ185" s="135"/>
      <c r="EA185" s="135"/>
      <c r="EB185" s="135"/>
      <c r="EC185" s="135"/>
      <c r="ED185" s="135"/>
      <c r="EE185" s="135"/>
      <c r="EF185" s="135"/>
      <c r="EG185" s="135"/>
      <c r="EH185" s="135"/>
      <c r="EI185" s="135"/>
      <c r="EJ185" s="135"/>
      <c r="EK185" s="135"/>
      <c r="EL185" s="135"/>
      <c r="EM185" s="135"/>
      <c r="EN185" s="135"/>
      <c r="EO185" s="135"/>
      <c r="EP185" s="135"/>
      <c r="EQ185" s="135"/>
      <c r="ER185" s="135"/>
      <c r="ES185" s="135"/>
      <c r="ET185" s="135"/>
      <c r="EU185" s="135"/>
      <c r="EV185" s="135"/>
      <c r="EW185" s="135"/>
      <c r="EX185" s="135"/>
      <c r="EY185" s="135"/>
      <c r="EZ185" s="135"/>
      <c r="FA185" s="135"/>
      <c r="FB185" s="135"/>
    </row>
    <row r="186" spans="4:158" hidden="1" x14ac:dyDescent="0.25"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  <c r="Z186" s="135"/>
      <c r="AA186" s="135"/>
      <c r="AB186" s="135"/>
      <c r="AC186" s="135"/>
      <c r="AD186" s="135"/>
      <c r="AE186" s="135"/>
      <c r="AF186" s="135"/>
      <c r="AG186" s="135"/>
      <c r="AH186" s="135"/>
      <c r="AI186" s="135"/>
      <c r="AJ186" s="135"/>
      <c r="AK186" s="135"/>
      <c r="AL186" s="135"/>
      <c r="AM186" s="135"/>
      <c r="AN186" s="135"/>
      <c r="AO186" s="135"/>
      <c r="AP186" s="135"/>
      <c r="AQ186" s="135"/>
      <c r="AR186" s="135"/>
      <c r="AS186" s="135"/>
      <c r="AT186" s="135"/>
      <c r="AU186" s="135"/>
      <c r="AV186" s="135"/>
      <c r="AW186" s="135"/>
      <c r="AX186" s="135"/>
      <c r="AY186" s="135"/>
      <c r="AZ186" s="135"/>
      <c r="BA186" s="135"/>
      <c r="BB186" s="135"/>
      <c r="BC186" s="135"/>
      <c r="BD186" s="135"/>
      <c r="BE186" s="135"/>
      <c r="BF186" s="135"/>
      <c r="BG186" s="135"/>
      <c r="BH186" s="135"/>
      <c r="BI186" s="135"/>
      <c r="BJ186" s="135"/>
      <c r="BK186" s="135"/>
      <c r="BL186" s="135"/>
      <c r="BM186" s="135"/>
      <c r="BN186" s="135"/>
      <c r="BO186" s="135"/>
      <c r="BP186" s="135"/>
      <c r="BQ186" s="135"/>
      <c r="BR186" s="135"/>
      <c r="BS186" s="135"/>
      <c r="BT186" s="135"/>
      <c r="BU186" s="135"/>
      <c r="BV186" s="135"/>
      <c r="BW186" s="135"/>
      <c r="BX186" s="135"/>
      <c r="BY186" s="135"/>
      <c r="BZ186" s="135"/>
      <c r="CA186" s="135"/>
      <c r="CB186" s="135"/>
      <c r="CC186" s="135"/>
      <c r="CD186" s="135"/>
      <c r="CE186" s="135"/>
      <c r="CF186" s="135"/>
      <c r="CG186" s="135"/>
      <c r="CH186" s="135"/>
      <c r="CI186" s="135"/>
      <c r="CJ186" s="135"/>
      <c r="CK186" s="135"/>
      <c r="CL186" s="135"/>
      <c r="CM186" s="135"/>
      <c r="CN186" s="135"/>
      <c r="CO186" s="135"/>
      <c r="CP186" s="135"/>
      <c r="CQ186" s="135"/>
      <c r="CR186" s="135"/>
      <c r="CS186" s="135"/>
      <c r="CT186" s="135"/>
      <c r="CU186" s="135"/>
      <c r="CV186" s="135"/>
      <c r="CW186" s="135"/>
      <c r="CX186" s="135"/>
      <c r="CY186" s="135"/>
      <c r="CZ186" s="135"/>
      <c r="DA186" s="135"/>
      <c r="DB186" s="135"/>
      <c r="DC186" s="135"/>
      <c r="DD186" s="135"/>
      <c r="DE186" s="135"/>
      <c r="DF186" s="135"/>
      <c r="DG186" s="135"/>
      <c r="DH186" s="135"/>
      <c r="DI186" s="135"/>
      <c r="DJ186" s="135"/>
      <c r="DK186" s="135"/>
      <c r="DL186" s="135"/>
      <c r="DM186" s="135"/>
      <c r="DN186" s="135"/>
      <c r="DO186" s="135"/>
      <c r="DP186" s="135"/>
      <c r="DQ186" s="135"/>
      <c r="DR186" s="135"/>
      <c r="DS186" s="135"/>
      <c r="DT186" s="135"/>
      <c r="DU186" s="135"/>
      <c r="DV186" s="135"/>
      <c r="DW186" s="135"/>
      <c r="DX186" s="135"/>
      <c r="DY186" s="135"/>
      <c r="DZ186" s="135"/>
      <c r="EA186" s="135"/>
      <c r="EB186" s="135"/>
      <c r="EC186" s="135"/>
      <c r="ED186" s="135"/>
      <c r="EE186" s="135"/>
      <c r="EF186" s="135"/>
      <c r="EG186" s="135"/>
      <c r="EH186" s="135"/>
      <c r="EI186" s="135"/>
      <c r="EJ186" s="135"/>
      <c r="EK186" s="135"/>
      <c r="EL186" s="135"/>
      <c r="EM186" s="135"/>
      <c r="EN186" s="135"/>
      <c r="EO186" s="135"/>
      <c r="EP186" s="135"/>
      <c r="EQ186" s="135"/>
      <c r="ER186" s="135"/>
      <c r="ES186" s="135"/>
      <c r="ET186" s="135"/>
      <c r="EU186" s="135"/>
      <c r="EV186" s="135"/>
      <c r="EW186" s="135"/>
      <c r="EX186" s="135"/>
      <c r="EY186" s="135"/>
      <c r="EZ186" s="135"/>
      <c r="FA186" s="135"/>
      <c r="FB186" s="135"/>
    </row>
    <row r="187" spans="4:158" hidden="1" x14ac:dyDescent="0.25"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  <c r="AB187" s="135"/>
      <c r="AC187" s="135"/>
      <c r="AD187" s="135"/>
      <c r="AE187" s="135"/>
      <c r="AF187" s="135"/>
      <c r="AG187" s="135"/>
      <c r="AH187" s="135"/>
      <c r="AI187" s="135"/>
      <c r="AJ187" s="135"/>
      <c r="AK187" s="135"/>
      <c r="AL187" s="135"/>
      <c r="AM187" s="135"/>
      <c r="AN187" s="135"/>
      <c r="AO187" s="135"/>
      <c r="AP187" s="135"/>
      <c r="AQ187" s="135"/>
      <c r="AR187" s="135"/>
      <c r="AS187" s="135"/>
      <c r="AT187" s="135"/>
      <c r="AU187" s="135"/>
      <c r="AV187" s="135"/>
      <c r="AW187" s="135"/>
      <c r="AX187" s="135"/>
      <c r="AY187" s="135"/>
      <c r="AZ187" s="135"/>
      <c r="BA187" s="135"/>
      <c r="BB187" s="135"/>
      <c r="BC187" s="135"/>
      <c r="BD187" s="135"/>
      <c r="BE187" s="135"/>
      <c r="BF187" s="135"/>
      <c r="BG187" s="135"/>
      <c r="BH187" s="135"/>
      <c r="BI187" s="135"/>
      <c r="BJ187" s="135"/>
      <c r="BK187" s="135"/>
      <c r="BL187" s="135"/>
      <c r="BM187" s="135"/>
      <c r="BN187" s="135"/>
      <c r="BO187" s="135"/>
      <c r="BP187" s="135"/>
      <c r="BQ187" s="135"/>
      <c r="BR187" s="135"/>
      <c r="BS187" s="135"/>
      <c r="BT187" s="135"/>
      <c r="BU187" s="135"/>
      <c r="BV187" s="135"/>
      <c r="BW187" s="135"/>
      <c r="BX187" s="135"/>
      <c r="BY187" s="135"/>
      <c r="BZ187" s="135"/>
      <c r="CA187" s="135"/>
      <c r="CB187" s="135"/>
      <c r="CC187" s="135"/>
      <c r="CD187" s="135"/>
      <c r="CE187" s="135"/>
      <c r="CF187" s="135"/>
      <c r="CG187" s="135"/>
      <c r="CH187" s="135"/>
      <c r="CI187" s="135"/>
      <c r="CJ187" s="135"/>
      <c r="CK187" s="135"/>
      <c r="CL187" s="135"/>
      <c r="CM187" s="135"/>
      <c r="CN187" s="135"/>
      <c r="CO187" s="135"/>
      <c r="CP187" s="135"/>
      <c r="CQ187" s="135"/>
      <c r="CR187" s="135"/>
      <c r="CS187" s="135"/>
      <c r="CT187" s="135"/>
      <c r="CU187" s="135"/>
      <c r="CV187" s="135"/>
      <c r="CW187" s="135"/>
      <c r="CX187" s="135"/>
      <c r="CY187" s="135"/>
      <c r="CZ187" s="135"/>
      <c r="DA187" s="135"/>
      <c r="DB187" s="135"/>
      <c r="DC187" s="135"/>
      <c r="DD187" s="135"/>
      <c r="DE187" s="135"/>
      <c r="DF187" s="135"/>
      <c r="DG187" s="135"/>
      <c r="DH187" s="135"/>
      <c r="DI187" s="135"/>
      <c r="DJ187" s="135"/>
      <c r="DK187" s="135"/>
      <c r="DL187" s="135"/>
      <c r="DM187" s="135"/>
      <c r="DN187" s="135"/>
      <c r="DO187" s="135"/>
      <c r="DP187" s="135"/>
      <c r="DQ187" s="135"/>
      <c r="DR187" s="135"/>
      <c r="DS187" s="135"/>
      <c r="DT187" s="135"/>
      <c r="DU187" s="135"/>
      <c r="DV187" s="135"/>
      <c r="DW187" s="135"/>
      <c r="DX187" s="135"/>
      <c r="DY187" s="135"/>
      <c r="DZ187" s="135"/>
      <c r="EA187" s="135"/>
      <c r="EB187" s="135"/>
      <c r="EC187" s="135"/>
      <c r="ED187" s="135"/>
      <c r="EE187" s="135"/>
      <c r="EF187" s="135"/>
      <c r="EG187" s="135"/>
      <c r="EH187" s="135"/>
      <c r="EI187" s="135"/>
      <c r="EJ187" s="135"/>
      <c r="EK187" s="135"/>
      <c r="EL187" s="135"/>
      <c r="EM187" s="135"/>
      <c r="EN187" s="135"/>
      <c r="EO187" s="135"/>
      <c r="EP187" s="135"/>
      <c r="EQ187" s="135"/>
      <c r="ER187" s="135"/>
      <c r="ES187" s="135"/>
      <c r="ET187" s="135"/>
      <c r="EU187" s="135"/>
      <c r="EV187" s="135"/>
      <c r="EW187" s="135"/>
      <c r="EX187" s="135"/>
      <c r="EY187" s="135"/>
      <c r="EZ187" s="135"/>
      <c r="FA187" s="135"/>
      <c r="FB187" s="135"/>
    </row>
    <row r="188" spans="4:158" hidden="1" x14ac:dyDescent="0.25"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/>
      <c r="AB188" s="135"/>
      <c r="AC188" s="135"/>
      <c r="AD188" s="135"/>
      <c r="AE188" s="135"/>
      <c r="AF188" s="135"/>
      <c r="AG188" s="135"/>
      <c r="AH188" s="135"/>
      <c r="AI188" s="135"/>
      <c r="AJ188" s="135"/>
      <c r="AK188" s="135"/>
      <c r="AL188" s="135"/>
      <c r="AM188" s="135"/>
      <c r="AN188" s="135"/>
      <c r="AO188" s="135"/>
      <c r="AP188" s="135"/>
      <c r="AQ188" s="135"/>
      <c r="AR188" s="135"/>
      <c r="AS188" s="135"/>
      <c r="AT188" s="135"/>
      <c r="AU188" s="135"/>
      <c r="AV188" s="135"/>
      <c r="AW188" s="135"/>
      <c r="AX188" s="135"/>
      <c r="AY188" s="135"/>
      <c r="AZ188" s="135"/>
      <c r="BA188" s="135"/>
      <c r="BB188" s="135"/>
      <c r="BC188" s="135"/>
      <c r="BD188" s="135"/>
      <c r="BE188" s="135"/>
      <c r="BF188" s="135"/>
      <c r="BG188" s="135"/>
      <c r="BH188" s="135"/>
      <c r="BI188" s="135"/>
      <c r="BJ188" s="135"/>
      <c r="BK188" s="135"/>
      <c r="BL188" s="135"/>
      <c r="BM188" s="135"/>
      <c r="BN188" s="135"/>
      <c r="BO188" s="135"/>
      <c r="BP188" s="135"/>
      <c r="BQ188" s="135"/>
      <c r="BR188" s="135"/>
      <c r="BS188" s="135"/>
      <c r="BT188" s="135"/>
      <c r="BU188" s="135"/>
      <c r="BV188" s="135"/>
      <c r="BW188" s="135"/>
      <c r="BX188" s="135"/>
      <c r="BY188" s="135"/>
      <c r="BZ188" s="135"/>
      <c r="CA188" s="135"/>
      <c r="CB188" s="135"/>
      <c r="CC188" s="135"/>
      <c r="CD188" s="135"/>
      <c r="CE188" s="135"/>
      <c r="CF188" s="135"/>
      <c r="CG188" s="135"/>
      <c r="CH188" s="135"/>
      <c r="CI188" s="135"/>
      <c r="CJ188" s="135"/>
      <c r="CK188" s="135"/>
      <c r="CL188" s="135"/>
      <c r="CM188" s="135"/>
      <c r="CN188" s="135"/>
      <c r="CO188" s="135"/>
      <c r="CP188" s="135"/>
      <c r="CQ188" s="135"/>
      <c r="CR188" s="135"/>
      <c r="CS188" s="135"/>
      <c r="CT188" s="135"/>
      <c r="CU188" s="135"/>
      <c r="CV188" s="135"/>
      <c r="CW188" s="135"/>
      <c r="CX188" s="135"/>
      <c r="CY188" s="135"/>
      <c r="CZ188" s="135"/>
      <c r="DA188" s="135"/>
      <c r="DB188" s="135"/>
      <c r="DC188" s="135"/>
      <c r="DD188" s="135"/>
      <c r="DE188" s="135"/>
      <c r="DF188" s="135"/>
      <c r="DG188" s="135"/>
      <c r="DH188" s="135"/>
      <c r="DI188" s="135"/>
      <c r="DJ188" s="135"/>
      <c r="DK188" s="135"/>
      <c r="DL188" s="135"/>
      <c r="DM188" s="135"/>
      <c r="DN188" s="135"/>
      <c r="DO188" s="135"/>
      <c r="DP188" s="135"/>
      <c r="DQ188" s="135"/>
      <c r="DR188" s="135"/>
      <c r="DS188" s="135"/>
      <c r="DT188" s="135"/>
      <c r="DU188" s="135"/>
      <c r="DV188" s="135"/>
      <c r="DW188" s="135"/>
      <c r="DX188" s="135"/>
      <c r="DY188" s="135"/>
      <c r="DZ188" s="135"/>
      <c r="EA188" s="135"/>
      <c r="EB188" s="135"/>
      <c r="EC188" s="135"/>
      <c r="ED188" s="135"/>
      <c r="EE188" s="135"/>
      <c r="EF188" s="135"/>
      <c r="EG188" s="135"/>
      <c r="EH188" s="135"/>
      <c r="EI188" s="135"/>
      <c r="EJ188" s="135"/>
      <c r="EK188" s="135"/>
      <c r="EL188" s="135"/>
      <c r="EM188" s="135"/>
      <c r="EN188" s="135"/>
      <c r="EO188" s="135"/>
      <c r="EP188" s="135"/>
      <c r="EQ188" s="135"/>
      <c r="ER188" s="135"/>
      <c r="ES188" s="135"/>
      <c r="ET188" s="135"/>
      <c r="EU188" s="135"/>
      <c r="EV188" s="135"/>
      <c r="EW188" s="135"/>
      <c r="EX188" s="135"/>
      <c r="EY188" s="135"/>
      <c r="EZ188" s="135"/>
      <c r="FA188" s="135"/>
      <c r="FB188" s="135"/>
    </row>
    <row r="189" spans="4:158" hidden="1" x14ac:dyDescent="0.25"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  <c r="Y189" s="135"/>
      <c r="Z189" s="135"/>
      <c r="AA189" s="135"/>
      <c r="AB189" s="135"/>
      <c r="AC189" s="135"/>
      <c r="AD189" s="135"/>
      <c r="AE189" s="135"/>
      <c r="AF189" s="135"/>
      <c r="AG189" s="135"/>
      <c r="AH189" s="135"/>
      <c r="AI189" s="135"/>
      <c r="AJ189" s="135"/>
      <c r="AK189" s="135"/>
      <c r="AL189" s="135"/>
      <c r="AM189" s="135"/>
      <c r="AN189" s="135"/>
      <c r="AO189" s="135"/>
      <c r="AP189" s="135"/>
      <c r="AQ189" s="135"/>
      <c r="AR189" s="135"/>
      <c r="AS189" s="135"/>
      <c r="AT189" s="135"/>
      <c r="AU189" s="135"/>
      <c r="AV189" s="135"/>
      <c r="AW189" s="135"/>
      <c r="AX189" s="135"/>
      <c r="AY189" s="135"/>
      <c r="AZ189" s="135"/>
      <c r="BA189" s="135"/>
      <c r="BB189" s="135"/>
      <c r="BC189" s="135"/>
      <c r="BD189" s="135"/>
      <c r="BE189" s="135"/>
      <c r="BF189" s="135"/>
      <c r="BG189" s="135"/>
      <c r="BH189" s="135"/>
      <c r="BI189" s="135"/>
      <c r="BJ189" s="135"/>
      <c r="BK189" s="135"/>
      <c r="BL189" s="135"/>
      <c r="BM189" s="135"/>
      <c r="BN189" s="135"/>
      <c r="BO189" s="135"/>
      <c r="BP189" s="135"/>
      <c r="BQ189" s="135"/>
      <c r="BR189" s="135"/>
      <c r="BS189" s="135"/>
      <c r="BT189" s="135"/>
      <c r="BU189" s="135"/>
      <c r="BV189" s="135"/>
      <c r="BW189" s="135"/>
      <c r="BX189" s="135"/>
      <c r="BY189" s="135"/>
      <c r="BZ189" s="135"/>
      <c r="CA189" s="135"/>
      <c r="CB189" s="135"/>
      <c r="CC189" s="135"/>
      <c r="CD189" s="135"/>
      <c r="CE189" s="135"/>
      <c r="CF189" s="135"/>
      <c r="CG189" s="135"/>
      <c r="CH189" s="135"/>
      <c r="CI189" s="135"/>
      <c r="CJ189" s="135"/>
      <c r="CK189" s="135"/>
      <c r="CL189" s="135"/>
      <c r="CM189" s="135"/>
      <c r="CN189" s="135"/>
      <c r="CO189" s="135"/>
      <c r="CP189" s="135"/>
      <c r="CQ189" s="135"/>
      <c r="CR189" s="135"/>
      <c r="CS189" s="135"/>
      <c r="CT189" s="135"/>
      <c r="CU189" s="135"/>
      <c r="CV189" s="135"/>
      <c r="CW189" s="135"/>
      <c r="CX189" s="135"/>
      <c r="CY189" s="135"/>
      <c r="CZ189" s="135"/>
      <c r="DA189" s="135"/>
      <c r="DB189" s="135"/>
      <c r="DC189" s="135"/>
      <c r="DD189" s="135"/>
      <c r="DE189" s="135"/>
      <c r="DF189" s="135"/>
      <c r="DG189" s="135"/>
      <c r="DH189" s="135"/>
      <c r="DI189" s="135"/>
      <c r="DJ189" s="135"/>
      <c r="DK189" s="135"/>
      <c r="DL189" s="135"/>
      <c r="DM189" s="135"/>
      <c r="DN189" s="135"/>
      <c r="DO189" s="135"/>
      <c r="DP189" s="135"/>
      <c r="DQ189" s="135"/>
      <c r="DR189" s="135"/>
      <c r="DS189" s="135"/>
      <c r="DT189" s="135"/>
      <c r="DU189" s="135"/>
      <c r="DV189" s="135"/>
      <c r="DW189" s="135"/>
      <c r="DX189" s="135"/>
      <c r="DY189" s="135"/>
      <c r="DZ189" s="135"/>
      <c r="EA189" s="135"/>
      <c r="EB189" s="135"/>
      <c r="EC189" s="135"/>
      <c r="ED189" s="135"/>
      <c r="EE189" s="135"/>
      <c r="EF189" s="135"/>
      <c r="EG189" s="135"/>
      <c r="EH189" s="135"/>
      <c r="EI189" s="135"/>
      <c r="EJ189" s="135"/>
      <c r="EK189" s="135"/>
      <c r="EL189" s="135"/>
      <c r="EM189" s="135"/>
      <c r="EN189" s="135"/>
      <c r="EO189" s="135"/>
      <c r="EP189" s="135"/>
      <c r="EQ189" s="135"/>
      <c r="ER189" s="135"/>
      <c r="ES189" s="135"/>
      <c r="ET189" s="135"/>
      <c r="EU189" s="135"/>
      <c r="EV189" s="135"/>
      <c r="EW189" s="135"/>
      <c r="EX189" s="135"/>
      <c r="EY189" s="135"/>
      <c r="EZ189" s="135"/>
      <c r="FA189" s="135"/>
      <c r="FB189" s="135"/>
    </row>
    <row r="190" spans="4:158" hidden="1" x14ac:dyDescent="0.25"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  <c r="W190" s="135"/>
      <c r="X190" s="135"/>
      <c r="Y190" s="135"/>
      <c r="Z190" s="135"/>
      <c r="AA190" s="135"/>
      <c r="AB190" s="135"/>
      <c r="AC190" s="135"/>
      <c r="AD190" s="135"/>
      <c r="AE190" s="135"/>
      <c r="AF190" s="135"/>
      <c r="AG190" s="135"/>
      <c r="AH190" s="135"/>
      <c r="AI190" s="135"/>
      <c r="AJ190" s="135"/>
      <c r="AK190" s="135"/>
      <c r="AL190" s="135"/>
      <c r="AM190" s="135"/>
      <c r="AN190" s="135"/>
      <c r="AO190" s="135"/>
      <c r="AP190" s="135"/>
      <c r="AQ190" s="135"/>
      <c r="AR190" s="135"/>
      <c r="AS190" s="135"/>
      <c r="AT190" s="135"/>
      <c r="AU190" s="135"/>
      <c r="AV190" s="135"/>
      <c r="AW190" s="135"/>
      <c r="AX190" s="135"/>
      <c r="AY190" s="135"/>
      <c r="AZ190" s="135"/>
      <c r="BA190" s="135"/>
      <c r="BB190" s="135"/>
      <c r="BC190" s="135"/>
      <c r="BD190" s="135"/>
      <c r="BE190" s="135"/>
      <c r="BF190" s="135"/>
      <c r="BG190" s="135"/>
      <c r="BH190" s="135"/>
      <c r="BI190" s="135"/>
      <c r="BJ190" s="135"/>
      <c r="BK190" s="135"/>
      <c r="BL190" s="135"/>
      <c r="BM190" s="135"/>
      <c r="BN190" s="135"/>
      <c r="BO190" s="135"/>
      <c r="BP190" s="135"/>
      <c r="BQ190" s="135"/>
      <c r="BR190" s="135"/>
      <c r="BS190" s="135"/>
      <c r="BT190" s="135"/>
      <c r="BU190" s="135"/>
      <c r="BV190" s="135"/>
      <c r="BW190" s="135"/>
      <c r="BX190" s="135"/>
      <c r="BY190" s="135"/>
      <c r="BZ190" s="135"/>
      <c r="CA190" s="135"/>
      <c r="CB190" s="135"/>
      <c r="CC190" s="135"/>
      <c r="CD190" s="135"/>
      <c r="CE190" s="135"/>
      <c r="CF190" s="135"/>
      <c r="CG190" s="135"/>
      <c r="CH190" s="135"/>
      <c r="CI190" s="135"/>
      <c r="CJ190" s="135"/>
      <c r="CK190" s="135"/>
      <c r="CL190" s="135"/>
      <c r="CM190" s="135"/>
      <c r="CN190" s="135"/>
      <c r="CO190" s="135"/>
      <c r="CP190" s="135"/>
      <c r="CQ190" s="135"/>
      <c r="CR190" s="135"/>
      <c r="CS190" s="135"/>
      <c r="CT190" s="135"/>
      <c r="CU190" s="135"/>
      <c r="CV190" s="135"/>
      <c r="CW190" s="135"/>
      <c r="CX190" s="135"/>
      <c r="CY190" s="135"/>
      <c r="CZ190" s="135"/>
      <c r="DA190" s="135"/>
      <c r="DB190" s="135"/>
      <c r="DC190" s="135"/>
      <c r="DD190" s="135"/>
      <c r="DE190" s="135"/>
      <c r="DF190" s="135"/>
      <c r="DG190" s="135"/>
      <c r="DH190" s="135"/>
      <c r="DI190" s="135"/>
      <c r="DJ190" s="135"/>
      <c r="DK190" s="135"/>
      <c r="DL190" s="135"/>
      <c r="DM190" s="135"/>
      <c r="DN190" s="135"/>
      <c r="DO190" s="135"/>
      <c r="DP190" s="135"/>
      <c r="DQ190" s="135"/>
      <c r="DR190" s="135"/>
      <c r="DS190" s="135"/>
      <c r="DT190" s="135"/>
      <c r="DU190" s="135"/>
      <c r="DV190" s="135"/>
      <c r="DW190" s="135"/>
      <c r="DX190" s="135"/>
      <c r="DY190" s="135"/>
      <c r="DZ190" s="135"/>
      <c r="EA190" s="135"/>
      <c r="EB190" s="135"/>
      <c r="EC190" s="135"/>
      <c r="ED190" s="135"/>
      <c r="EE190" s="135"/>
      <c r="EF190" s="135"/>
      <c r="EG190" s="135"/>
      <c r="EH190" s="135"/>
      <c r="EI190" s="135"/>
      <c r="EJ190" s="135"/>
      <c r="EK190" s="135"/>
      <c r="EL190" s="135"/>
      <c r="EM190" s="135"/>
      <c r="EN190" s="135"/>
      <c r="EO190" s="135"/>
      <c r="EP190" s="135"/>
      <c r="EQ190" s="135"/>
      <c r="ER190" s="135"/>
      <c r="ES190" s="135"/>
      <c r="ET190" s="135"/>
      <c r="EU190" s="135"/>
      <c r="EV190" s="135"/>
      <c r="EW190" s="135"/>
      <c r="EX190" s="135"/>
      <c r="EY190" s="135"/>
      <c r="EZ190" s="135"/>
      <c r="FA190" s="135"/>
      <c r="FB190" s="135"/>
    </row>
    <row r="191" spans="4:158" hidden="1" x14ac:dyDescent="0.25"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  <c r="Y191" s="135"/>
      <c r="Z191" s="135"/>
      <c r="AA191" s="135"/>
      <c r="AB191" s="135"/>
      <c r="AC191" s="135"/>
      <c r="AD191" s="135"/>
      <c r="AE191" s="135"/>
      <c r="AF191" s="135"/>
      <c r="AG191" s="135"/>
      <c r="AH191" s="135"/>
      <c r="AI191" s="135"/>
      <c r="AJ191" s="135"/>
      <c r="AK191" s="135"/>
      <c r="AL191" s="135"/>
      <c r="AM191" s="135"/>
      <c r="AN191" s="135"/>
      <c r="AO191" s="135"/>
      <c r="AP191" s="135"/>
      <c r="AQ191" s="135"/>
      <c r="AR191" s="135"/>
      <c r="AS191" s="135"/>
      <c r="AT191" s="135"/>
      <c r="AU191" s="135"/>
      <c r="AV191" s="135"/>
      <c r="AW191" s="135"/>
      <c r="AX191" s="135"/>
      <c r="AY191" s="135"/>
      <c r="AZ191" s="135"/>
      <c r="BA191" s="135"/>
      <c r="BB191" s="135"/>
      <c r="BC191" s="135"/>
      <c r="BD191" s="135"/>
      <c r="BE191" s="135"/>
      <c r="BF191" s="135"/>
      <c r="BG191" s="135"/>
      <c r="BH191" s="135"/>
      <c r="BI191" s="135"/>
      <c r="BJ191" s="135"/>
      <c r="BK191" s="135"/>
      <c r="BL191" s="135"/>
      <c r="BM191" s="135"/>
      <c r="BN191" s="135"/>
      <c r="BO191" s="135"/>
      <c r="BP191" s="135"/>
      <c r="BQ191" s="135"/>
      <c r="BR191" s="135"/>
      <c r="BS191" s="135"/>
      <c r="BT191" s="135"/>
      <c r="BU191" s="135"/>
      <c r="BV191" s="135"/>
      <c r="BW191" s="135"/>
      <c r="BX191" s="135"/>
      <c r="BY191" s="135"/>
      <c r="BZ191" s="135"/>
      <c r="CA191" s="135"/>
      <c r="CB191" s="135"/>
      <c r="CC191" s="135"/>
      <c r="CD191" s="135"/>
      <c r="CE191" s="135"/>
      <c r="CF191" s="135"/>
      <c r="CG191" s="135"/>
      <c r="CH191" s="135"/>
      <c r="CI191" s="135"/>
      <c r="CJ191" s="135"/>
      <c r="CK191" s="135"/>
      <c r="CL191" s="135"/>
      <c r="CM191" s="135"/>
      <c r="CN191" s="135"/>
      <c r="CO191" s="135"/>
      <c r="CP191" s="135"/>
      <c r="CQ191" s="135"/>
      <c r="CR191" s="135"/>
      <c r="CS191" s="135"/>
      <c r="CT191" s="135"/>
      <c r="CU191" s="135"/>
      <c r="CV191" s="135"/>
      <c r="CW191" s="135"/>
      <c r="CX191" s="135"/>
      <c r="CY191" s="135"/>
      <c r="CZ191" s="135"/>
      <c r="DA191" s="135"/>
      <c r="DB191" s="135"/>
      <c r="DC191" s="135"/>
      <c r="DD191" s="135"/>
      <c r="DE191" s="135"/>
      <c r="DF191" s="135"/>
      <c r="DG191" s="135"/>
      <c r="DH191" s="135"/>
      <c r="DI191" s="135"/>
      <c r="DJ191" s="135"/>
      <c r="DK191" s="135"/>
      <c r="DL191" s="135"/>
      <c r="DM191" s="135"/>
      <c r="DN191" s="135"/>
      <c r="DO191" s="135"/>
      <c r="DP191" s="135"/>
      <c r="DQ191" s="135"/>
      <c r="DR191" s="135"/>
      <c r="DS191" s="135"/>
      <c r="DT191" s="135"/>
      <c r="DU191" s="135"/>
      <c r="DV191" s="135"/>
      <c r="DW191" s="135"/>
      <c r="DX191" s="135"/>
      <c r="DY191" s="135"/>
      <c r="DZ191" s="135"/>
      <c r="EA191" s="135"/>
      <c r="EB191" s="135"/>
      <c r="EC191" s="135"/>
      <c r="ED191" s="135"/>
      <c r="EE191" s="135"/>
      <c r="EF191" s="135"/>
      <c r="EG191" s="135"/>
      <c r="EH191" s="135"/>
      <c r="EI191" s="135"/>
      <c r="EJ191" s="135"/>
      <c r="EK191" s="135"/>
      <c r="EL191" s="135"/>
      <c r="EM191" s="135"/>
      <c r="EN191" s="135"/>
      <c r="EO191" s="135"/>
      <c r="EP191" s="135"/>
      <c r="EQ191" s="135"/>
      <c r="ER191" s="135"/>
      <c r="ES191" s="135"/>
      <c r="ET191" s="135"/>
      <c r="EU191" s="135"/>
      <c r="EV191" s="135"/>
      <c r="EW191" s="135"/>
      <c r="EX191" s="135"/>
      <c r="EY191" s="135"/>
      <c r="EZ191" s="135"/>
      <c r="FA191" s="135"/>
      <c r="FB191" s="135"/>
    </row>
    <row r="192" spans="4:158" hidden="1" x14ac:dyDescent="0.25"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  <c r="Y192" s="135"/>
      <c r="Z192" s="135"/>
      <c r="AA192" s="135"/>
      <c r="AB192" s="135"/>
      <c r="AC192" s="135"/>
      <c r="AD192" s="135"/>
      <c r="AE192" s="135"/>
      <c r="AF192" s="135"/>
      <c r="AG192" s="135"/>
      <c r="AH192" s="135"/>
      <c r="AI192" s="135"/>
      <c r="AJ192" s="135"/>
      <c r="AK192" s="135"/>
      <c r="AL192" s="135"/>
      <c r="AM192" s="135"/>
      <c r="AN192" s="135"/>
      <c r="AO192" s="135"/>
      <c r="AP192" s="135"/>
      <c r="AQ192" s="135"/>
      <c r="AR192" s="135"/>
      <c r="AS192" s="135"/>
      <c r="AT192" s="135"/>
      <c r="AU192" s="135"/>
      <c r="AV192" s="135"/>
      <c r="AW192" s="135"/>
      <c r="AX192" s="135"/>
      <c r="AY192" s="135"/>
      <c r="AZ192" s="135"/>
      <c r="BA192" s="135"/>
      <c r="BB192" s="135"/>
      <c r="BC192" s="135"/>
      <c r="BD192" s="135"/>
      <c r="BE192" s="135"/>
      <c r="BF192" s="135"/>
      <c r="BG192" s="135"/>
      <c r="BH192" s="135"/>
      <c r="BI192" s="135"/>
      <c r="BJ192" s="135"/>
      <c r="BK192" s="135"/>
      <c r="BL192" s="135"/>
      <c r="BM192" s="135"/>
      <c r="BN192" s="135"/>
      <c r="BO192" s="135"/>
      <c r="BP192" s="135"/>
      <c r="BQ192" s="135"/>
      <c r="BR192" s="135"/>
      <c r="BS192" s="135"/>
      <c r="BT192" s="135"/>
      <c r="BU192" s="135"/>
      <c r="BV192" s="135"/>
      <c r="BW192" s="135"/>
      <c r="BX192" s="135"/>
      <c r="BY192" s="135"/>
      <c r="BZ192" s="135"/>
      <c r="CA192" s="135"/>
      <c r="CB192" s="135"/>
      <c r="CC192" s="135"/>
      <c r="CD192" s="135"/>
      <c r="CE192" s="135"/>
      <c r="CF192" s="135"/>
      <c r="CG192" s="135"/>
      <c r="CH192" s="135"/>
      <c r="CI192" s="135"/>
      <c r="CJ192" s="135"/>
      <c r="CK192" s="135"/>
      <c r="CL192" s="135"/>
      <c r="CM192" s="135"/>
      <c r="CN192" s="135"/>
      <c r="CO192" s="135"/>
      <c r="CP192" s="135"/>
      <c r="CQ192" s="135"/>
      <c r="CR192" s="135"/>
      <c r="CS192" s="135"/>
      <c r="CT192" s="135"/>
      <c r="CU192" s="135"/>
      <c r="CV192" s="135"/>
      <c r="CW192" s="135"/>
      <c r="CX192" s="135"/>
      <c r="CY192" s="135"/>
      <c r="CZ192" s="135"/>
      <c r="DA192" s="135"/>
      <c r="DB192" s="135"/>
      <c r="DC192" s="135"/>
      <c r="DD192" s="135"/>
      <c r="DE192" s="135"/>
      <c r="DF192" s="135"/>
      <c r="DG192" s="135"/>
      <c r="DH192" s="135"/>
      <c r="DI192" s="135"/>
      <c r="DJ192" s="135"/>
      <c r="DK192" s="135"/>
      <c r="DL192" s="135"/>
      <c r="DM192" s="135"/>
      <c r="DN192" s="135"/>
      <c r="DO192" s="135"/>
      <c r="DP192" s="135"/>
      <c r="DQ192" s="135"/>
      <c r="DR192" s="135"/>
      <c r="DS192" s="135"/>
      <c r="DT192" s="135"/>
      <c r="DU192" s="135"/>
      <c r="DV192" s="135"/>
      <c r="DW192" s="135"/>
      <c r="DX192" s="135"/>
      <c r="DY192" s="135"/>
      <c r="DZ192" s="135"/>
      <c r="EA192" s="135"/>
      <c r="EB192" s="135"/>
      <c r="EC192" s="135"/>
      <c r="ED192" s="135"/>
      <c r="EE192" s="135"/>
      <c r="EF192" s="135"/>
      <c r="EG192" s="135"/>
      <c r="EH192" s="135"/>
      <c r="EI192" s="135"/>
      <c r="EJ192" s="135"/>
      <c r="EK192" s="135"/>
      <c r="EL192" s="135"/>
      <c r="EM192" s="135"/>
      <c r="EN192" s="135"/>
      <c r="EO192" s="135"/>
      <c r="EP192" s="135"/>
      <c r="EQ192" s="135"/>
      <c r="ER192" s="135"/>
      <c r="ES192" s="135"/>
      <c r="ET192" s="135"/>
      <c r="EU192" s="135"/>
      <c r="EV192" s="135"/>
      <c r="EW192" s="135"/>
      <c r="EX192" s="135"/>
      <c r="EY192" s="135"/>
      <c r="EZ192" s="135"/>
      <c r="FA192" s="135"/>
      <c r="FB192" s="135"/>
    </row>
    <row r="193" spans="4:158" hidden="1" x14ac:dyDescent="0.25"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  <c r="W193" s="135"/>
      <c r="X193" s="135"/>
      <c r="Y193" s="135"/>
      <c r="Z193" s="135"/>
      <c r="AA193" s="135"/>
      <c r="AB193" s="135"/>
      <c r="AC193" s="135"/>
      <c r="AD193" s="135"/>
      <c r="AE193" s="135"/>
      <c r="AF193" s="135"/>
      <c r="AG193" s="135"/>
      <c r="AH193" s="135"/>
      <c r="AI193" s="135"/>
      <c r="AJ193" s="135"/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35"/>
      <c r="AV193" s="135"/>
      <c r="AW193" s="135"/>
      <c r="AX193" s="135"/>
      <c r="AY193" s="135"/>
      <c r="AZ193" s="135"/>
      <c r="BA193" s="135"/>
      <c r="BB193" s="135"/>
      <c r="BC193" s="135"/>
      <c r="BD193" s="135"/>
      <c r="BE193" s="135"/>
      <c r="BF193" s="135"/>
      <c r="BG193" s="135"/>
      <c r="BH193" s="135"/>
      <c r="BI193" s="135"/>
      <c r="BJ193" s="135"/>
      <c r="BK193" s="135"/>
      <c r="BL193" s="135"/>
      <c r="BM193" s="135"/>
      <c r="BN193" s="135"/>
      <c r="BO193" s="135"/>
      <c r="BP193" s="135"/>
      <c r="BQ193" s="135"/>
      <c r="BR193" s="135"/>
      <c r="BS193" s="135"/>
      <c r="BT193" s="135"/>
      <c r="BU193" s="135"/>
      <c r="BV193" s="135"/>
      <c r="BW193" s="135"/>
      <c r="BX193" s="135"/>
      <c r="BY193" s="135"/>
      <c r="BZ193" s="135"/>
      <c r="CA193" s="135"/>
      <c r="CB193" s="135"/>
      <c r="CC193" s="135"/>
      <c r="CD193" s="135"/>
      <c r="CE193" s="135"/>
      <c r="CF193" s="135"/>
      <c r="CG193" s="135"/>
      <c r="CH193" s="135"/>
      <c r="CI193" s="135"/>
      <c r="CJ193" s="135"/>
      <c r="CK193" s="135"/>
      <c r="CL193" s="135"/>
      <c r="CM193" s="135"/>
      <c r="CN193" s="135"/>
      <c r="CO193" s="135"/>
      <c r="CP193" s="135"/>
      <c r="CQ193" s="135"/>
      <c r="CR193" s="135"/>
      <c r="CS193" s="135"/>
      <c r="CT193" s="135"/>
      <c r="CU193" s="135"/>
      <c r="CV193" s="135"/>
      <c r="CW193" s="135"/>
      <c r="CX193" s="135"/>
      <c r="CY193" s="135"/>
      <c r="CZ193" s="135"/>
      <c r="DA193" s="135"/>
      <c r="DB193" s="135"/>
      <c r="DC193" s="135"/>
      <c r="DD193" s="135"/>
      <c r="DE193" s="135"/>
      <c r="DF193" s="135"/>
      <c r="DG193" s="135"/>
      <c r="DH193" s="135"/>
      <c r="DI193" s="135"/>
      <c r="DJ193" s="135"/>
      <c r="DK193" s="135"/>
      <c r="DL193" s="135"/>
      <c r="DM193" s="135"/>
      <c r="DN193" s="135"/>
      <c r="DO193" s="135"/>
      <c r="DP193" s="135"/>
      <c r="DQ193" s="135"/>
      <c r="DR193" s="135"/>
      <c r="DS193" s="135"/>
      <c r="DT193" s="135"/>
      <c r="DU193" s="135"/>
      <c r="DV193" s="135"/>
      <c r="DW193" s="135"/>
      <c r="DX193" s="135"/>
      <c r="DY193" s="135"/>
      <c r="DZ193" s="135"/>
      <c r="EA193" s="135"/>
      <c r="EB193" s="135"/>
      <c r="EC193" s="135"/>
      <c r="ED193" s="135"/>
      <c r="EE193" s="135"/>
      <c r="EF193" s="135"/>
      <c r="EG193" s="135"/>
      <c r="EH193" s="135"/>
      <c r="EI193" s="135"/>
      <c r="EJ193" s="135"/>
      <c r="EK193" s="135"/>
      <c r="EL193" s="135"/>
      <c r="EM193" s="135"/>
      <c r="EN193" s="135"/>
      <c r="EO193" s="135"/>
      <c r="EP193" s="135"/>
      <c r="EQ193" s="135"/>
      <c r="ER193" s="135"/>
      <c r="ES193" s="135"/>
      <c r="ET193" s="135"/>
      <c r="EU193" s="135"/>
      <c r="EV193" s="135"/>
      <c r="EW193" s="135"/>
      <c r="EX193" s="135"/>
      <c r="EY193" s="135"/>
      <c r="EZ193" s="135"/>
      <c r="FA193" s="135"/>
      <c r="FB193" s="135"/>
    </row>
    <row r="194" spans="4:158" hidden="1" x14ac:dyDescent="0.25"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  <c r="BE194" s="135"/>
      <c r="BF194" s="135"/>
      <c r="BG194" s="135"/>
      <c r="BH194" s="135"/>
      <c r="BI194" s="135"/>
      <c r="BJ194" s="135"/>
      <c r="BK194" s="135"/>
      <c r="BL194" s="135"/>
      <c r="BM194" s="135"/>
      <c r="BN194" s="135"/>
      <c r="BO194" s="135"/>
      <c r="BP194" s="135"/>
      <c r="BQ194" s="135"/>
      <c r="BR194" s="135"/>
      <c r="BS194" s="135"/>
      <c r="BT194" s="135"/>
      <c r="BU194" s="135"/>
      <c r="BV194" s="135"/>
      <c r="BW194" s="135"/>
      <c r="BX194" s="135"/>
      <c r="BY194" s="135"/>
      <c r="BZ194" s="135"/>
      <c r="CA194" s="135"/>
      <c r="CB194" s="135"/>
      <c r="CC194" s="135"/>
      <c r="CD194" s="135"/>
      <c r="CE194" s="135"/>
      <c r="CF194" s="135"/>
      <c r="CG194" s="135"/>
      <c r="CH194" s="135"/>
      <c r="CI194" s="135"/>
      <c r="CJ194" s="135"/>
      <c r="CK194" s="135"/>
      <c r="CL194" s="135"/>
      <c r="CM194" s="135"/>
      <c r="CN194" s="135"/>
      <c r="CO194" s="135"/>
      <c r="CP194" s="135"/>
      <c r="CQ194" s="135"/>
      <c r="CR194" s="135"/>
      <c r="CS194" s="135"/>
      <c r="CT194" s="135"/>
      <c r="CU194" s="135"/>
      <c r="CV194" s="135"/>
      <c r="CW194" s="135"/>
      <c r="CX194" s="135"/>
      <c r="CY194" s="135"/>
      <c r="CZ194" s="135"/>
      <c r="DA194" s="135"/>
      <c r="DB194" s="135"/>
      <c r="DC194" s="135"/>
      <c r="DD194" s="135"/>
      <c r="DE194" s="135"/>
      <c r="DF194" s="135"/>
      <c r="DG194" s="135"/>
      <c r="DH194" s="135"/>
      <c r="DI194" s="135"/>
      <c r="DJ194" s="135"/>
      <c r="DK194" s="135"/>
      <c r="DL194" s="135"/>
      <c r="DM194" s="135"/>
      <c r="DN194" s="135"/>
      <c r="DO194" s="135"/>
      <c r="DP194" s="135"/>
      <c r="DQ194" s="135"/>
      <c r="DR194" s="135"/>
      <c r="DS194" s="135"/>
      <c r="DT194" s="135"/>
      <c r="DU194" s="135"/>
      <c r="DV194" s="135"/>
      <c r="DW194" s="135"/>
      <c r="DX194" s="135"/>
      <c r="DY194" s="135"/>
      <c r="DZ194" s="135"/>
      <c r="EA194" s="135"/>
      <c r="EB194" s="135"/>
      <c r="EC194" s="135"/>
      <c r="ED194" s="135"/>
      <c r="EE194" s="135"/>
      <c r="EF194" s="135"/>
      <c r="EG194" s="135"/>
      <c r="EH194" s="135"/>
      <c r="EI194" s="135"/>
      <c r="EJ194" s="135"/>
      <c r="EK194" s="135"/>
      <c r="EL194" s="135"/>
      <c r="EM194" s="135"/>
      <c r="EN194" s="135"/>
      <c r="EO194" s="135"/>
      <c r="EP194" s="135"/>
      <c r="EQ194" s="135"/>
      <c r="ER194" s="135"/>
      <c r="ES194" s="135"/>
      <c r="ET194" s="135"/>
      <c r="EU194" s="135"/>
      <c r="EV194" s="135"/>
      <c r="EW194" s="135"/>
      <c r="EX194" s="135"/>
      <c r="EY194" s="135"/>
      <c r="EZ194" s="135"/>
      <c r="FA194" s="135"/>
      <c r="FB194" s="135"/>
    </row>
    <row r="195" spans="4:158" hidden="1" x14ac:dyDescent="0.25"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  <c r="Y195" s="135"/>
      <c r="Z195" s="135"/>
      <c r="AA195" s="135"/>
      <c r="AB195" s="135"/>
      <c r="AC195" s="135"/>
      <c r="AD195" s="135"/>
      <c r="AE195" s="135"/>
      <c r="AF195" s="135"/>
      <c r="AG195" s="135"/>
      <c r="AH195" s="135"/>
      <c r="AI195" s="135"/>
      <c r="AJ195" s="135"/>
      <c r="AK195" s="135"/>
      <c r="AL195" s="135"/>
      <c r="AM195" s="135"/>
      <c r="AN195" s="135"/>
      <c r="AO195" s="135"/>
      <c r="AP195" s="135"/>
      <c r="AQ195" s="135"/>
      <c r="AR195" s="135"/>
      <c r="AS195" s="135"/>
      <c r="AT195" s="135"/>
      <c r="AU195" s="135"/>
      <c r="AV195" s="135"/>
      <c r="AW195" s="135"/>
      <c r="AX195" s="135"/>
      <c r="AY195" s="135"/>
      <c r="AZ195" s="135"/>
      <c r="BA195" s="135"/>
      <c r="BB195" s="135"/>
      <c r="BC195" s="135"/>
      <c r="BD195" s="135"/>
      <c r="BE195" s="135"/>
      <c r="BF195" s="135"/>
      <c r="BG195" s="135"/>
      <c r="BH195" s="135"/>
      <c r="BI195" s="135"/>
      <c r="BJ195" s="135"/>
      <c r="BK195" s="135"/>
      <c r="BL195" s="135"/>
      <c r="BM195" s="135"/>
      <c r="BN195" s="135"/>
      <c r="BO195" s="135"/>
      <c r="BP195" s="135"/>
      <c r="BQ195" s="135"/>
      <c r="BR195" s="135"/>
      <c r="BS195" s="135"/>
      <c r="BT195" s="135"/>
      <c r="BU195" s="135"/>
      <c r="BV195" s="135"/>
      <c r="BW195" s="135"/>
      <c r="BX195" s="135"/>
      <c r="BY195" s="135"/>
      <c r="BZ195" s="135"/>
      <c r="CA195" s="135"/>
      <c r="CB195" s="135"/>
      <c r="CC195" s="135"/>
      <c r="CD195" s="135"/>
      <c r="CE195" s="135"/>
      <c r="CF195" s="135"/>
      <c r="CG195" s="135"/>
      <c r="CH195" s="135"/>
      <c r="CI195" s="135"/>
      <c r="CJ195" s="135"/>
      <c r="CK195" s="135"/>
      <c r="CL195" s="135"/>
      <c r="CM195" s="135"/>
      <c r="CN195" s="135"/>
      <c r="CO195" s="135"/>
      <c r="CP195" s="135"/>
      <c r="CQ195" s="135"/>
      <c r="CR195" s="135"/>
      <c r="CS195" s="135"/>
      <c r="CT195" s="135"/>
      <c r="CU195" s="135"/>
      <c r="CV195" s="135"/>
      <c r="CW195" s="135"/>
      <c r="CX195" s="135"/>
      <c r="CY195" s="135"/>
      <c r="CZ195" s="135"/>
      <c r="DA195" s="135"/>
      <c r="DB195" s="135"/>
      <c r="DC195" s="135"/>
      <c r="DD195" s="135"/>
      <c r="DE195" s="135"/>
      <c r="DF195" s="135"/>
      <c r="DG195" s="135"/>
      <c r="DH195" s="135"/>
      <c r="DI195" s="135"/>
      <c r="DJ195" s="135"/>
      <c r="DK195" s="135"/>
      <c r="DL195" s="135"/>
      <c r="DM195" s="135"/>
      <c r="DN195" s="135"/>
      <c r="DO195" s="135"/>
      <c r="DP195" s="135"/>
      <c r="DQ195" s="135"/>
      <c r="DR195" s="135"/>
      <c r="DS195" s="135"/>
      <c r="DT195" s="135"/>
      <c r="DU195" s="135"/>
      <c r="DV195" s="135"/>
      <c r="DW195" s="135"/>
      <c r="DX195" s="135"/>
      <c r="DY195" s="135"/>
      <c r="DZ195" s="135"/>
      <c r="EA195" s="135"/>
      <c r="EB195" s="135"/>
      <c r="EC195" s="135"/>
      <c r="ED195" s="135"/>
      <c r="EE195" s="135"/>
      <c r="EF195" s="135"/>
      <c r="EG195" s="135"/>
      <c r="EH195" s="135"/>
      <c r="EI195" s="135"/>
      <c r="EJ195" s="135"/>
      <c r="EK195" s="135"/>
      <c r="EL195" s="135"/>
      <c r="EM195" s="135"/>
      <c r="EN195" s="135"/>
      <c r="EO195" s="135"/>
      <c r="EP195" s="135"/>
      <c r="EQ195" s="135"/>
      <c r="ER195" s="135"/>
      <c r="ES195" s="135"/>
      <c r="ET195" s="135"/>
      <c r="EU195" s="135"/>
      <c r="EV195" s="135"/>
      <c r="EW195" s="135"/>
      <c r="EX195" s="135"/>
      <c r="EY195" s="135"/>
      <c r="EZ195" s="135"/>
      <c r="FA195" s="135"/>
      <c r="FB195" s="135"/>
    </row>
    <row r="196" spans="4:158" hidden="1" x14ac:dyDescent="0.25"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  <c r="Y196" s="135"/>
      <c r="Z196" s="135"/>
      <c r="AA196" s="135"/>
      <c r="AB196" s="135"/>
      <c r="AC196" s="135"/>
      <c r="AD196" s="135"/>
      <c r="AE196" s="135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  <c r="BE196" s="135"/>
      <c r="BF196" s="135"/>
      <c r="BG196" s="135"/>
      <c r="BH196" s="135"/>
      <c r="BI196" s="135"/>
      <c r="BJ196" s="135"/>
      <c r="BK196" s="135"/>
      <c r="BL196" s="135"/>
      <c r="BM196" s="135"/>
      <c r="BN196" s="135"/>
      <c r="BO196" s="135"/>
      <c r="BP196" s="135"/>
      <c r="BQ196" s="135"/>
      <c r="BR196" s="135"/>
      <c r="BS196" s="135"/>
      <c r="BT196" s="135"/>
      <c r="BU196" s="135"/>
      <c r="BV196" s="135"/>
      <c r="BW196" s="135"/>
      <c r="BX196" s="135"/>
      <c r="BY196" s="135"/>
      <c r="BZ196" s="135"/>
      <c r="CA196" s="135"/>
      <c r="CB196" s="135"/>
      <c r="CC196" s="135"/>
      <c r="CD196" s="135"/>
      <c r="CE196" s="135"/>
      <c r="CF196" s="135"/>
      <c r="CG196" s="135"/>
      <c r="CH196" s="135"/>
      <c r="CI196" s="135"/>
      <c r="CJ196" s="135"/>
      <c r="CK196" s="135"/>
      <c r="CL196" s="135"/>
      <c r="CM196" s="135"/>
      <c r="CN196" s="135"/>
      <c r="CO196" s="135"/>
      <c r="CP196" s="135"/>
      <c r="CQ196" s="135"/>
      <c r="CR196" s="135"/>
      <c r="CS196" s="135"/>
      <c r="CT196" s="135"/>
      <c r="CU196" s="135"/>
      <c r="CV196" s="135"/>
      <c r="CW196" s="135"/>
      <c r="CX196" s="135"/>
      <c r="CY196" s="135"/>
      <c r="CZ196" s="135"/>
      <c r="DA196" s="135"/>
      <c r="DB196" s="135"/>
      <c r="DC196" s="135"/>
      <c r="DD196" s="135"/>
      <c r="DE196" s="135"/>
      <c r="DF196" s="135"/>
      <c r="DG196" s="135"/>
      <c r="DH196" s="135"/>
      <c r="DI196" s="135"/>
      <c r="DJ196" s="135"/>
      <c r="DK196" s="135"/>
      <c r="DL196" s="135"/>
      <c r="DM196" s="135"/>
      <c r="DN196" s="135"/>
      <c r="DO196" s="135"/>
      <c r="DP196" s="135"/>
      <c r="DQ196" s="135"/>
      <c r="DR196" s="135"/>
      <c r="DS196" s="135"/>
      <c r="DT196" s="135"/>
      <c r="DU196" s="135"/>
      <c r="DV196" s="135"/>
      <c r="DW196" s="135"/>
      <c r="DX196" s="135"/>
      <c r="DY196" s="135"/>
      <c r="DZ196" s="135"/>
      <c r="EA196" s="135"/>
      <c r="EB196" s="135"/>
      <c r="EC196" s="135"/>
      <c r="ED196" s="135"/>
      <c r="EE196" s="135"/>
      <c r="EF196" s="135"/>
      <c r="EG196" s="135"/>
      <c r="EH196" s="135"/>
      <c r="EI196" s="135"/>
      <c r="EJ196" s="135"/>
      <c r="EK196" s="135"/>
      <c r="EL196" s="135"/>
      <c r="EM196" s="135"/>
      <c r="EN196" s="135"/>
      <c r="EO196" s="135"/>
      <c r="EP196" s="135"/>
      <c r="EQ196" s="135"/>
      <c r="ER196" s="135"/>
      <c r="ES196" s="135"/>
      <c r="ET196" s="135"/>
      <c r="EU196" s="135"/>
      <c r="EV196" s="135"/>
      <c r="EW196" s="135"/>
      <c r="EX196" s="135"/>
      <c r="EY196" s="135"/>
      <c r="EZ196" s="135"/>
      <c r="FA196" s="135"/>
      <c r="FB196" s="135"/>
    </row>
    <row r="197" spans="4:158" hidden="1" x14ac:dyDescent="0.25"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  <c r="AB197" s="135"/>
      <c r="AC197" s="135"/>
      <c r="AD197" s="135"/>
      <c r="AE197" s="135"/>
      <c r="AF197" s="135"/>
      <c r="AG197" s="135"/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  <c r="BE197" s="135"/>
      <c r="BF197" s="135"/>
      <c r="BG197" s="135"/>
      <c r="BH197" s="135"/>
      <c r="BI197" s="135"/>
      <c r="BJ197" s="135"/>
      <c r="BK197" s="135"/>
      <c r="BL197" s="135"/>
      <c r="BM197" s="135"/>
      <c r="BN197" s="135"/>
      <c r="BO197" s="135"/>
      <c r="BP197" s="135"/>
      <c r="BQ197" s="135"/>
      <c r="BR197" s="135"/>
      <c r="BS197" s="135"/>
      <c r="BT197" s="135"/>
      <c r="BU197" s="135"/>
      <c r="BV197" s="135"/>
      <c r="BW197" s="135"/>
      <c r="BX197" s="135"/>
      <c r="BY197" s="135"/>
      <c r="BZ197" s="135"/>
      <c r="CA197" s="135"/>
      <c r="CB197" s="135"/>
      <c r="CC197" s="135"/>
      <c r="CD197" s="135"/>
      <c r="CE197" s="135"/>
      <c r="CF197" s="135"/>
      <c r="CG197" s="135"/>
      <c r="CH197" s="135"/>
      <c r="CI197" s="135"/>
      <c r="CJ197" s="135"/>
      <c r="CK197" s="135"/>
      <c r="CL197" s="135"/>
      <c r="CM197" s="135"/>
      <c r="CN197" s="135"/>
      <c r="CO197" s="135"/>
      <c r="CP197" s="135"/>
      <c r="CQ197" s="135"/>
      <c r="CR197" s="135"/>
      <c r="CS197" s="135"/>
      <c r="CT197" s="135"/>
      <c r="CU197" s="135"/>
      <c r="CV197" s="135"/>
      <c r="CW197" s="135"/>
      <c r="CX197" s="135"/>
      <c r="CY197" s="135"/>
      <c r="CZ197" s="135"/>
      <c r="DA197" s="135"/>
      <c r="DB197" s="135"/>
      <c r="DC197" s="135"/>
      <c r="DD197" s="135"/>
      <c r="DE197" s="135"/>
      <c r="DF197" s="135"/>
      <c r="DG197" s="135"/>
      <c r="DH197" s="135"/>
      <c r="DI197" s="135"/>
      <c r="DJ197" s="135"/>
      <c r="DK197" s="135"/>
      <c r="DL197" s="135"/>
      <c r="DM197" s="135"/>
      <c r="DN197" s="135"/>
      <c r="DO197" s="135"/>
      <c r="DP197" s="135"/>
      <c r="DQ197" s="135"/>
      <c r="DR197" s="135"/>
      <c r="DS197" s="135"/>
      <c r="DT197" s="135"/>
      <c r="DU197" s="135"/>
      <c r="DV197" s="135"/>
      <c r="DW197" s="135"/>
      <c r="DX197" s="135"/>
      <c r="DY197" s="135"/>
      <c r="DZ197" s="135"/>
      <c r="EA197" s="135"/>
      <c r="EB197" s="135"/>
      <c r="EC197" s="135"/>
      <c r="ED197" s="135"/>
      <c r="EE197" s="135"/>
      <c r="EF197" s="135"/>
      <c r="EG197" s="135"/>
      <c r="EH197" s="135"/>
      <c r="EI197" s="135"/>
      <c r="EJ197" s="135"/>
      <c r="EK197" s="135"/>
      <c r="EL197" s="135"/>
      <c r="EM197" s="135"/>
      <c r="EN197" s="135"/>
      <c r="EO197" s="135"/>
      <c r="EP197" s="135"/>
      <c r="EQ197" s="135"/>
      <c r="ER197" s="135"/>
      <c r="ES197" s="135"/>
      <c r="ET197" s="135"/>
      <c r="EU197" s="135"/>
      <c r="EV197" s="135"/>
      <c r="EW197" s="135"/>
      <c r="EX197" s="135"/>
      <c r="EY197" s="135"/>
      <c r="EZ197" s="135"/>
      <c r="FA197" s="135"/>
      <c r="FB197" s="135"/>
    </row>
    <row r="198" spans="4:158" hidden="1" x14ac:dyDescent="0.25"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5"/>
      <c r="AA198" s="135"/>
      <c r="AB198" s="135"/>
      <c r="AC198" s="135"/>
      <c r="AD198" s="135"/>
      <c r="AE198" s="135"/>
      <c r="AF198" s="135"/>
      <c r="AG198" s="135"/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135"/>
      <c r="AR198" s="135"/>
      <c r="AS198" s="135"/>
      <c r="AT198" s="135"/>
      <c r="AU198" s="135"/>
      <c r="AV198" s="135"/>
      <c r="AW198" s="135"/>
      <c r="AX198" s="135"/>
      <c r="AY198" s="135"/>
      <c r="AZ198" s="135"/>
      <c r="BA198" s="135"/>
      <c r="BB198" s="135"/>
      <c r="BC198" s="135"/>
      <c r="BD198" s="135"/>
      <c r="BE198" s="135"/>
      <c r="BF198" s="135"/>
      <c r="BG198" s="135"/>
      <c r="BH198" s="135"/>
      <c r="BI198" s="135"/>
      <c r="BJ198" s="135"/>
      <c r="BK198" s="135"/>
      <c r="BL198" s="135"/>
      <c r="BM198" s="135"/>
      <c r="BN198" s="135"/>
      <c r="BO198" s="135"/>
      <c r="BP198" s="135"/>
      <c r="BQ198" s="135"/>
      <c r="BR198" s="135"/>
      <c r="BS198" s="135"/>
      <c r="BT198" s="135"/>
      <c r="BU198" s="135"/>
      <c r="BV198" s="135"/>
      <c r="BW198" s="135"/>
      <c r="BX198" s="135"/>
      <c r="BY198" s="135"/>
      <c r="BZ198" s="135"/>
      <c r="CA198" s="135"/>
      <c r="CB198" s="135"/>
      <c r="CC198" s="135"/>
      <c r="CD198" s="135"/>
      <c r="CE198" s="135"/>
      <c r="CF198" s="135"/>
      <c r="CG198" s="135"/>
      <c r="CH198" s="135"/>
      <c r="CI198" s="135"/>
      <c r="CJ198" s="135"/>
      <c r="CK198" s="135"/>
      <c r="CL198" s="135"/>
      <c r="CM198" s="135"/>
      <c r="CN198" s="135"/>
      <c r="CO198" s="135"/>
      <c r="CP198" s="135"/>
      <c r="CQ198" s="135"/>
      <c r="CR198" s="135"/>
      <c r="CS198" s="135"/>
      <c r="CT198" s="135"/>
      <c r="CU198" s="135"/>
      <c r="CV198" s="135"/>
      <c r="CW198" s="135"/>
      <c r="CX198" s="135"/>
      <c r="CY198" s="135"/>
      <c r="CZ198" s="135"/>
      <c r="DA198" s="135"/>
      <c r="DB198" s="135"/>
      <c r="DC198" s="135"/>
      <c r="DD198" s="135"/>
      <c r="DE198" s="135"/>
      <c r="DF198" s="135"/>
      <c r="DG198" s="135"/>
      <c r="DH198" s="135"/>
      <c r="DI198" s="135"/>
      <c r="DJ198" s="135"/>
      <c r="DK198" s="135"/>
      <c r="DL198" s="135"/>
      <c r="DM198" s="135"/>
      <c r="DN198" s="135"/>
      <c r="DO198" s="135"/>
      <c r="DP198" s="135"/>
      <c r="DQ198" s="135"/>
      <c r="DR198" s="135"/>
      <c r="DS198" s="135"/>
      <c r="DT198" s="135"/>
      <c r="DU198" s="135"/>
      <c r="DV198" s="135"/>
      <c r="DW198" s="135"/>
      <c r="DX198" s="135"/>
      <c r="DY198" s="135"/>
      <c r="DZ198" s="135"/>
      <c r="EA198" s="135"/>
      <c r="EB198" s="135"/>
      <c r="EC198" s="135"/>
      <c r="ED198" s="135"/>
      <c r="EE198" s="135"/>
      <c r="EF198" s="135"/>
      <c r="EG198" s="135"/>
      <c r="EH198" s="135"/>
      <c r="EI198" s="135"/>
      <c r="EJ198" s="135"/>
      <c r="EK198" s="135"/>
      <c r="EL198" s="135"/>
      <c r="EM198" s="135"/>
      <c r="EN198" s="135"/>
      <c r="EO198" s="135"/>
      <c r="EP198" s="135"/>
      <c r="EQ198" s="135"/>
      <c r="ER198" s="135"/>
      <c r="ES198" s="135"/>
      <c r="ET198" s="135"/>
      <c r="EU198" s="135"/>
      <c r="EV198" s="135"/>
      <c r="EW198" s="135"/>
      <c r="EX198" s="135"/>
      <c r="EY198" s="135"/>
      <c r="EZ198" s="135"/>
      <c r="FA198" s="135"/>
      <c r="FB198" s="135"/>
    </row>
    <row r="199" spans="4:158" hidden="1" x14ac:dyDescent="0.25"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  <c r="Y199" s="135"/>
      <c r="Z199" s="135"/>
      <c r="AA199" s="135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5"/>
      <c r="AN199" s="135"/>
      <c r="AO199" s="135"/>
      <c r="AP199" s="135"/>
      <c r="AQ199" s="135"/>
      <c r="AR199" s="135"/>
      <c r="AS199" s="135"/>
      <c r="AT199" s="135"/>
      <c r="AU199" s="135"/>
      <c r="AV199" s="135"/>
      <c r="AW199" s="135"/>
      <c r="AX199" s="135"/>
      <c r="AY199" s="135"/>
      <c r="AZ199" s="135"/>
      <c r="BA199" s="135"/>
      <c r="BB199" s="135"/>
      <c r="BC199" s="135"/>
      <c r="BD199" s="135"/>
      <c r="BE199" s="135"/>
      <c r="BF199" s="135"/>
      <c r="BG199" s="135"/>
      <c r="BH199" s="135"/>
      <c r="BI199" s="135"/>
      <c r="BJ199" s="135"/>
      <c r="BK199" s="135"/>
      <c r="BL199" s="135"/>
      <c r="BM199" s="135"/>
      <c r="BN199" s="135"/>
      <c r="BO199" s="135"/>
      <c r="BP199" s="135"/>
      <c r="BQ199" s="135"/>
      <c r="BR199" s="135"/>
      <c r="BS199" s="135"/>
      <c r="BT199" s="135"/>
      <c r="BU199" s="135"/>
      <c r="BV199" s="135"/>
      <c r="BW199" s="135"/>
      <c r="BX199" s="135"/>
      <c r="BY199" s="135"/>
      <c r="BZ199" s="135"/>
      <c r="CA199" s="135"/>
      <c r="CB199" s="135"/>
      <c r="CC199" s="135"/>
      <c r="CD199" s="135"/>
      <c r="CE199" s="135"/>
      <c r="CF199" s="135"/>
      <c r="CG199" s="135"/>
      <c r="CH199" s="135"/>
      <c r="CI199" s="135"/>
      <c r="CJ199" s="135"/>
      <c r="CK199" s="135"/>
      <c r="CL199" s="135"/>
      <c r="CM199" s="135"/>
      <c r="CN199" s="135"/>
      <c r="CO199" s="135"/>
      <c r="CP199" s="135"/>
      <c r="CQ199" s="135"/>
      <c r="CR199" s="135"/>
      <c r="CS199" s="135"/>
      <c r="CT199" s="135"/>
      <c r="CU199" s="135"/>
      <c r="CV199" s="135"/>
      <c r="CW199" s="135"/>
      <c r="CX199" s="135"/>
      <c r="CY199" s="135"/>
      <c r="CZ199" s="135"/>
      <c r="DA199" s="135"/>
      <c r="DB199" s="135"/>
      <c r="DC199" s="135"/>
      <c r="DD199" s="135"/>
      <c r="DE199" s="135"/>
      <c r="DF199" s="135"/>
      <c r="DG199" s="135"/>
      <c r="DH199" s="135"/>
      <c r="DI199" s="135"/>
      <c r="DJ199" s="135"/>
      <c r="DK199" s="135"/>
      <c r="DL199" s="135"/>
      <c r="DM199" s="135"/>
      <c r="DN199" s="135"/>
      <c r="DO199" s="135"/>
      <c r="DP199" s="135"/>
      <c r="DQ199" s="135"/>
      <c r="DR199" s="135"/>
      <c r="DS199" s="135"/>
      <c r="DT199" s="135"/>
      <c r="DU199" s="135"/>
      <c r="DV199" s="135"/>
      <c r="DW199" s="135"/>
      <c r="DX199" s="135"/>
      <c r="DY199" s="135"/>
      <c r="DZ199" s="135"/>
      <c r="EA199" s="135"/>
      <c r="EB199" s="135"/>
      <c r="EC199" s="135"/>
      <c r="ED199" s="135"/>
      <c r="EE199" s="135"/>
      <c r="EF199" s="135"/>
      <c r="EG199" s="135"/>
      <c r="EH199" s="135"/>
      <c r="EI199" s="135"/>
      <c r="EJ199" s="135"/>
      <c r="EK199" s="135"/>
      <c r="EL199" s="135"/>
      <c r="EM199" s="135"/>
      <c r="EN199" s="135"/>
      <c r="EO199" s="135"/>
      <c r="EP199" s="135"/>
      <c r="EQ199" s="135"/>
      <c r="ER199" s="135"/>
      <c r="ES199" s="135"/>
      <c r="ET199" s="135"/>
      <c r="EU199" s="135"/>
      <c r="EV199" s="135"/>
      <c r="EW199" s="135"/>
      <c r="EX199" s="135"/>
      <c r="EY199" s="135"/>
      <c r="EZ199" s="135"/>
      <c r="FA199" s="135"/>
      <c r="FB199" s="135"/>
    </row>
    <row r="200" spans="4:158" hidden="1" x14ac:dyDescent="0.25"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  <c r="Y200" s="135"/>
      <c r="Z200" s="135"/>
      <c r="AA200" s="135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/>
      <c r="AT200" s="135"/>
      <c r="AU200" s="135"/>
      <c r="AV200" s="135"/>
      <c r="AW200" s="135"/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5"/>
      <c r="BI200" s="135"/>
      <c r="BJ200" s="135"/>
      <c r="BK200" s="135"/>
      <c r="BL200" s="135"/>
      <c r="BM200" s="135"/>
      <c r="BN200" s="135"/>
      <c r="BO200" s="135"/>
      <c r="BP200" s="135"/>
      <c r="BQ200" s="135"/>
      <c r="BR200" s="135"/>
      <c r="BS200" s="135"/>
      <c r="BT200" s="135"/>
      <c r="BU200" s="135"/>
      <c r="BV200" s="135"/>
      <c r="BW200" s="135"/>
      <c r="BX200" s="135"/>
      <c r="BY200" s="135"/>
      <c r="BZ200" s="135"/>
      <c r="CA200" s="135"/>
      <c r="CB200" s="135"/>
      <c r="CC200" s="135"/>
      <c r="CD200" s="135"/>
      <c r="CE200" s="135"/>
      <c r="CF200" s="135"/>
      <c r="CG200" s="135"/>
      <c r="CH200" s="135"/>
      <c r="CI200" s="135"/>
      <c r="CJ200" s="135"/>
      <c r="CK200" s="135"/>
      <c r="CL200" s="135"/>
      <c r="CM200" s="135"/>
      <c r="CN200" s="135"/>
      <c r="CO200" s="135"/>
      <c r="CP200" s="135"/>
      <c r="CQ200" s="135"/>
      <c r="CR200" s="135"/>
      <c r="CS200" s="135"/>
      <c r="CT200" s="135"/>
      <c r="CU200" s="135"/>
      <c r="CV200" s="135"/>
      <c r="CW200" s="135"/>
      <c r="CX200" s="135"/>
      <c r="CY200" s="135"/>
      <c r="CZ200" s="135"/>
      <c r="DA200" s="135"/>
      <c r="DB200" s="135"/>
      <c r="DC200" s="135"/>
      <c r="DD200" s="135"/>
      <c r="DE200" s="135"/>
      <c r="DF200" s="135"/>
      <c r="DG200" s="135"/>
      <c r="DH200" s="135"/>
      <c r="DI200" s="135"/>
      <c r="DJ200" s="135"/>
      <c r="DK200" s="135"/>
      <c r="DL200" s="135"/>
      <c r="DM200" s="135"/>
      <c r="DN200" s="135"/>
      <c r="DO200" s="135"/>
      <c r="DP200" s="135"/>
      <c r="DQ200" s="135"/>
      <c r="DR200" s="135"/>
      <c r="DS200" s="135"/>
      <c r="DT200" s="135"/>
      <c r="DU200" s="135"/>
      <c r="DV200" s="135"/>
      <c r="DW200" s="135"/>
      <c r="DX200" s="135"/>
      <c r="DY200" s="135"/>
      <c r="DZ200" s="135"/>
      <c r="EA200" s="135"/>
      <c r="EB200" s="135"/>
      <c r="EC200" s="135"/>
      <c r="ED200" s="135"/>
      <c r="EE200" s="135"/>
      <c r="EF200" s="135"/>
      <c r="EG200" s="135"/>
      <c r="EH200" s="135"/>
      <c r="EI200" s="135"/>
      <c r="EJ200" s="135"/>
      <c r="EK200" s="135"/>
      <c r="EL200" s="135"/>
      <c r="EM200" s="135"/>
      <c r="EN200" s="135"/>
      <c r="EO200" s="135"/>
      <c r="EP200" s="135"/>
      <c r="EQ200" s="135"/>
      <c r="ER200" s="135"/>
      <c r="ES200" s="135"/>
      <c r="ET200" s="135"/>
      <c r="EU200" s="135"/>
      <c r="EV200" s="135"/>
      <c r="EW200" s="135"/>
      <c r="EX200" s="135"/>
      <c r="EY200" s="135"/>
      <c r="EZ200" s="135"/>
      <c r="FA200" s="135"/>
      <c r="FB200" s="135"/>
    </row>
    <row r="201" spans="4:158" hidden="1" x14ac:dyDescent="0.25"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  <c r="AG201" s="135"/>
      <c r="AH201" s="135"/>
      <c r="AI201" s="135"/>
      <c r="AJ201" s="135"/>
      <c r="AK201" s="135"/>
      <c r="AL201" s="135"/>
      <c r="AM201" s="135"/>
      <c r="AN201" s="135"/>
      <c r="AO201" s="135"/>
      <c r="AP201" s="135"/>
      <c r="AQ201" s="135"/>
      <c r="AR201" s="135"/>
      <c r="AS201" s="135"/>
      <c r="AT201" s="135"/>
      <c r="AU201" s="135"/>
      <c r="AV201" s="135"/>
      <c r="AW201" s="135"/>
      <c r="AX201" s="135"/>
      <c r="AY201" s="135"/>
      <c r="AZ201" s="135"/>
      <c r="BA201" s="135"/>
      <c r="BB201" s="135"/>
      <c r="BC201" s="135"/>
      <c r="BD201" s="135"/>
      <c r="BE201" s="135"/>
      <c r="BF201" s="135"/>
      <c r="BG201" s="135"/>
      <c r="BH201" s="135"/>
      <c r="BI201" s="135"/>
      <c r="BJ201" s="135"/>
      <c r="BK201" s="135"/>
      <c r="BL201" s="135"/>
      <c r="BM201" s="135"/>
      <c r="BN201" s="135"/>
      <c r="BO201" s="135"/>
      <c r="BP201" s="135"/>
      <c r="BQ201" s="135"/>
      <c r="BR201" s="135"/>
      <c r="BS201" s="135"/>
      <c r="BT201" s="135"/>
      <c r="BU201" s="135"/>
      <c r="BV201" s="135"/>
      <c r="BW201" s="135"/>
      <c r="BX201" s="135"/>
      <c r="BY201" s="135"/>
      <c r="BZ201" s="135"/>
      <c r="CA201" s="135"/>
      <c r="CB201" s="135"/>
      <c r="CC201" s="135"/>
      <c r="CD201" s="135"/>
      <c r="CE201" s="135"/>
      <c r="CF201" s="135"/>
      <c r="CG201" s="135"/>
      <c r="CH201" s="135"/>
      <c r="CI201" s="135"/>
      <c r="CJ201" s="135"/>
      <c r="CK201" s="135"/>
      <c r="CL201" s="135"/>
      <c r="CM201" s="135"/>
      <c r="CN201" s="135"/>
      <c r="CO201" s="135"/>
      <c r="CP201" s="135"/>
      <c r="CQ201" s="135"/>
      <c r="CR201" s="135"/>
      <c r="CS201" s="135"/>
      <c r="CT201" s="135"/>
      <c r="CU201" s="135"/>
      <c r="CV201" s="135"/>
      <c r="CW201" s="135"/>
      <c r="CX201" s="135"/>
      <c r="CY201" s="135"/>
      <c r="CZ201" s="135"/>
      <c r="DA201" s="135"/>
      <c r="DB201" s="135"/>
      <c r="DC201" s="135"/>
      <c r="DD201" s="135"/>
      <c r="DE201" s="135"/>
      <c r="DF201" s="135"/>
      <c r="DG201" s="135"/>
      <c r="DH201" s="135"/>
      <c r="DI201" s="135"/>
      <c r="DJ201" s="135"/>
      <c r="DK201" s="135"/>
      <c r="DL201" s="135"/>
      <c r="DM201" s="135"/>
      <c r="DN201" s="135"/>
      <c r="DO201" s="135"/>
      <c r="DP201" s="135"/>
      <c r="DQ201" s="135"/>
      <c r="DR201" s="135"/>
      <c r="DS201" s="135"/>
      <c r="DT201" s="135"/>
      <c r="DU201" s="135"/>
      <c r="DV201" s="135"/>
      <c r="DW201" s="135"/>
      <c r="DX201" s="135"/>
      <c r="DY201" s="135"/>
      <c r="DZ201" s="135"/>
      <c r="EA201" s="135"/>
      <c r="EB201" s="135"/>
      <c r="EC201" s="135"/>
      <c r="ED201" s="135"/>
      <c r="EE201" s="135"/>
      <c r="EF201" s="135"/>
      <c r="EG201" s="135"/>
      <c r="EH201" s="135"/>
      <c r="EI201" s="135"/>
      <c r="EJ201" s="135"/>
      <c r="EK201" s="135"/>
      <c r="EL201" s="135"/>
      <c r="EM201" s="135"/>
      <c r="EN201" s="135"/>
      <c r="EO201" s="135"/>
      <c r="EP201" s="135"/>
      <c r="EQ201" s="135"/>
      <c r="ER201" s="135"/>
      <c r="ES201" s="135"/>
      <c r="ET201" s="135"/>
      <c r="EU201" s="135"/>
      <c r="EV201" s="135"/>
      <c r="EW201" s="135"/>
      <c r="EX201" s="135"/>
      <c r="EY201" s="135"/>
      <c r="EZ201" s="135"/>
      <c r="FA201" s="135"/>
      <c r="FB201" s="135"/>
    </row>
    <row r="202" spans="4:158" hidden="1" x14ac:dyDescent="0.25"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  <c r="Y202" s="135"/>
      <c r="Z202" s="135"/>
      <c r="AA202" s="135"/>
      <c r="AB202" s="135"/>
      <c r="AC202" s="135"/>
      <c r="AD202" s="135"/>
      <c r="AE202" s="135"/>
      <c r="AF202" s="135"/>
      <c r="AG202" s="135"/>
      <c r="AH202" s="135"/>
      <c r="AI202" s="135"/>
      <c r="AJ202" s="135"/>
      <c r="AK202" s="135"/>
      <c r="AL202" s="135"/>
      <c r="AM202" s="135"/>
      <c r="AN202" s="135"/>
      <c r="AO202" s="135"/>
      <c r="AP202" s="135"/>
      <c r="AQ202" s="135"/>
      <c r="AR202" s="135"/>
      <c r="AS202" s="135"/>
      <c r="AT202" s="135"/>
      <c r="AU202" s="135"/>
      <c r="AV202" s="135"/>
      <c r="AW202" s="135"/>
      <c r="AX202" s="135"/>
      <c r="AY202" s="135"/>
      <c r="AZ202" s="135"/>
      <c r="BA202" s="135"/>
      <c r="BB202" s="135"/>
      <c r="BC202" s="135"/>
      <c r="BD202" s="135"/>
      <c r="BE202" s="135"/>
      <c r="BF202" s="135"/>
      <c r="BG202" s="135"/>
      <c r="BH202" s="135"/>
      <c r="BI202" s="135"/>
      <c r="BJ202" s="135"/>
      <c r="BK202" s="135"/>
      <c r="BL202" s="135"/>
      <c r="BM202" s="135"/>
      <c r="BN202" s="135"/>
      <c r="BO202" s="135"/>
      <c r="BP202" s="135"/>
      <c r="BQ202" s="135"/>
      <c r="BR202" s="135"/>
      <c r="BS202" s="135"/>
      <c r="BT202" s="135"/>
      <c r="BU202" s="135"/>
      <c r="BV202" s="135"/>
      <c r="BW202" s="135"/>
      <c r="BX202" s="135"/>
      <c r="BY202" s="135"/>
      <c r="BZ202" s="135"/>
      <c r="CA202" s="135"/>
      <c r="CB202" s="135"/>
      <c r="CC202" s="135"/>
      <c r="CD202" s="135"/>
      <c r="CE202" s="135"/>
      <c r="CF202" s="135"/>
      <c r="CG202" s="135"/>
      <c r="CH202" s="135"/>
      <c r="CI202" s="135"/>
      <c r="CJ202" s="135"/>
      <c r="CK202" s="135"/>
      <c r="CL202" s="135"/>
      <c r="CM202" s="135"/>
      <c r="CN202" s="135"/>
      <c r="CO202" s="135"/>
      <c r="CP202" s="135"/>
      <c r="CQ202" s="135"/>
      <c r="CR202" s="135"/>
      <c r="CS202" s="135"/>
      <c r="CT202" s="135"/>
      <c r="CU202" s="135"/>
      <c r="CV202" s="135"/>
      <c r="CW202" s="135"/>
      <c r="CX202" s="135"/>
      <c r="CY202" s="135"/>
      <c r="CZ202" s="135"/>
      <c r="DA202" s="135"/>
      <c r="DB202" s="135"/>
      <c r="DC202" s="135"/>
      <c r="DD202" s="135"/>
      <c r="DE202" s="135"/>
      <c r="DF202" s="135"/>
      <c r="DG202" s="135"/>
      <c r="DH202" s="135"/>
      <c r="DI202" s="135"/>
      <c r="DJ202" s="135"/>
      <c r="DK202" s="135"/>
      <c r="DL202" s="135"/>
      <c r="DM202" s="135"/>
      <c r="DN202" s="135"/>
      <c r="DO202" s="135"/>
      <c r="DP202" s="135"/>
      <c r="DQ202" s="135"/>
      <c r="DR202" s="135"/>
      <c r="DS202" s="135"/>
      <c r="DT202" s="135"/>
      <c r="DU202" s="135"/>
      <c r="DV202" s="135"/>
      <c r="DW202" s="135"/>
      <c r="DX202" s="135"/>
      <c r="DY202" s="135"/>
      <c r="DZ202" s="135"/>
      <c r="EA202" s="135"/>
      <c r="EB202" s="135"/>
      <c r="EC202" s="135"/>
      <c r="ED202" s="135"/>
      <c r="EE202" s="135"/>
      <c r="EF202" s="135"/>
      <c r="EG202" s="135"/>
      <c r="EH202" s="135"/>
      <c r="EI202" s="135"/>
      <c r="EJ202" s="135"/>
      <c r="EK202" s="135"/>
      <c r="EL202" s="135"/>
      <c r="EM202" s="135"/>
      <c r="EN202" s="135"/>
      <c r="EO202" s="135"/>
      <c r="EP202" s="135"/>
      <c r="EQ202" s="135"/>
      <c r="ER202" s="135"/>
      <c r="ES202" s="135"/>
      <c r="ET202" s="135"/>
      <c r="EU202" s="135"/>
      <c r="EV202" s="135"/>
      <c r="EW202" s="135"/>
      <c r="EX202" s="135"/>
      <c r="EY202" s="135"/>
      <c r="EZ202" s="135"/>
      <c r="FA202" s="135"/>
      <c r="FB202" s="135"/>
    </row>
    <row r="203" spans="4:158" hidden="1" x14ac:dyDescent="0.25"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  <c r="Y203" s="135"/>
      <c r="Z203" s="135"/>
      <c r="AA203" s="135"/>
      <c r="AB203" s="135"/>
      <c r="AC203" s="135"/>
      <c r="AD203" s="135"/>
      <c r="AE203" s="135"/>
      <c r="AF203" s="135"/>
      <c r="AG203" s="135"/>
      <c r="AH203" s="135"/>
      <c r="AI203" s="135"/>
      <c r="AJ203" s="135"/>
      <c r="AK203" s="135"/>
      <c r="AL203" s="135"/>
      <c r="AM203" s="135"/>
      <c r="AN203" s="135"/>
      <c r="AO203" s="135"/>
      <c r="AP203" s="135"/>
      <c r="AQ203" s="135"/>
      <c r="AR203" s="135"/>
      <c r="AS203" s="135"/>
      <c r="AT203" s="135"/>
      <c r="AU203" s="135"/>
      <c r="AV203" s="135"/>
      <c r="AW203" s="135"/>
      <c r="AX203" s="135"/>
      <c r="AY203" s="135"/>
      <c r="AZ203" s="135"/>
      <c r="BA203" s="135"/>
      <c r="BB203" s="135"/>
      <c r="BC203" s="135"/>
      <c r="BD203" s="135"/>
      <c r="BE203" s="135"/>
      <c r="BF203" s="135"/>
      <c r="BG203" s="135"/>
      <c r="BH203" s="135"/>
      <c r="BI203" s="135"/>
      <c r="BJ203" s="135"/>
      <c r="BK203" s="135"/>
      <c r="BL203" s="135"/>
      <c r="BM203" s="135"/>
      <c r="BN203" s="135"/>
      <c r="BO203" s="135"/>
      <c r="BP203" s="135"/>
      <c r="BQ203" s="135"/>
      <c r="BR203" s="135"/>
      <c r="BS203" s="135"/>
      <c r="BT203" s="135"/>
      <c r="BU203" s="135"/>
      <c r="BV203" s="135"/>
      <c r="BW203" s="135"/>
      <c r="BX203" s="135"/>
      <c r="BY203" s="135"/>
      <c r="BZ203" s="135"/>
      <c r="CA203" s="135"/>
      <c r="CB203" s="135"/>
      <c r="CC203" s="135"/>
      <c r="CD203" s="135"/>
      <c r="CE203" s="135"/>
      <c r="CF203" s="135"/>
      <c r="CG203" s="135"/>
      <c r="CH203" s="135"/>
      <c r="CI203" s="135"/>
      <c r="CJ203" s="135"/>
      <c r="CK203" s="135"/>
      <c r="CL203" s="135"/>
      <c r="CM203" s="135"/>
      <c r="CN203" s="135"/>
      <c r="CO203" s="135"/>
      <c r="CP203" s="135"/>
      <c r="CQ203" s="135"/>
      <c r="CR203" s="135"/>
      <c r="CS203" s="135"/>
      <c r="CT203" s="135"/>
      <c r="CU203" s="135"/>
      <c r="CV203" s="135"/>
      <c r="CW203" s="135"/>
      <c r="CX203" s="135"/>
      <c r="CY203" s="135"/>
      <c r="CZ203" s="135"/>
      <c r="DA203" s="135"/>
      <c r="DB203" s="135"/>
      <c r="DC203" s="135"/>
      <c r="DD203" s="135"/>
      <c r="DE203" s="135"/>
      <c r="DF203" s="135"/>
      <c r="DG203" s="135"/>
      <c r="DH203" s="135"/>
      <c r="DI203" s="135"/>
      <c r="DJ203" s="135"/>
      <c r="DK203" s="135"/>
      <c r="DL203" s="135"/>
      <c r="DM203" s="135"/>
      <c r="DN203" s="135"/>
      <c r="DO203" s="135"/>
      <c r="DP203" s="135"/>
      <c r="DQ203" s="135"/>
      <c r="DR203" s="135"/>
      <c r="DS203" s="135"/>
      <c r="DT203" s="135"/>
      <c r="DU203" s="135"/>
      <c r="DV203" s="135"/>
      <c r="DW203" s="135"/>
      <c r="DX203" s="135"/>
      <c r="DY203" s="135"/>
      <c r="DZ203" s="135"/>
      <c r="EA203" s="135"/>
      <c r="EB203" s="135"/>
      <c r="EC203" s="135"/>
      <c r="ED203" s="135"/>
      <c r="EE203" s="135"/>
      <c r="EF203" s="135"/>
      <c r="EG203" s="135"/>
      <c r="EH203" s="135"/>
      <c r="EI203" s="135"/>
      <c r="EJ203" s="135"/>
      <c r="EK203" s="135"/>
      <c r="EL203" s="135"/>
      <c r="EM203" s="135"/>
      <c r="EN203" s="135"/>
      <c r="EO203" s="135"/>
      <c r="EP203" s="135"/>
      <c r="EQ203" s="135"/>
      <c r="ER203" s="135"/>
      <c r="ES203" s="135"/>
      <c r="ET203" s="135"/>
      <c r="EU203" s="135"/>
      <c r="EV203" s="135"/>
      <c r="EW203" s="135"/>
      <c r="EX203" s="135"/>
      <c r="EY203" s="135"/>
      <c r="EZ203" s="135"/>
      <c r="FA203" s="135"/>
      <c r="FB203" s="135"/>
    </row>
    <row r="204" spans="4:158" hidden="1" x14ac:dyDescent="0.25"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  <c r="Y204" s="135"/>
      <c r="Z204" s="135"/>
      <c r="AA204" s="135"/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  <c r="BE204" s="135"/>
      <c r="BF204" s="135"/>
      <c r="BG204" s="135"/>
      <c r="BH204" s="135"/>
      <c r="BI204" s="135"/>
      <c r="BJ204" s="135"/>
      <c r="BK204" s="135"/>
      <c r="BL204" s="135"/>
      <c r="BM204" s="135"/>
      <c r="BN204" s="135"/>
      <c r="BO204" s="135"/>
      <c r="BP204" s="135"/>
      <c r="BQ204" s="135"/>
      <c r="BR204" s="135"/>
      <c r="BS204" s="135"/>
      <c r="BT204" s="135"/>
      <c r="BU204" s="135"/>
      <c r="BV204" s="135"/>
      <c r="BW204" s="135"/>
      <c r="BX204" s="135"/>
      <c r="BY204" s="135"/>
      <c r="BZ204" s="135"/>
      <c r="CA204" s="135"/>
      <c r="CB204" s="135"/>
      <c r="CC204" s="135"/>
      <c r="CD204" s="135"/>
      <c r="CE204" s="135"/>
      <c r="CF204" s="135"/>
      <c r="CG204" s="135"/>
      <c r="CH204" s="135"/>
      <c r="CI204" s="135"/>
      <c r="CJ204" s="135"/>
      <c r="CK204" s="135"/>
      <c r="CL204" s="135"/>
      <c r="CM204" s="135"/>
      <c r="CN204" s="135"/>
      <c r="CO204" s="135"/>
      <c r="CP204" s="135"/>
      <c r="CQ204" s="135"/>
      <c r="CR204" s="135"/>
      <c r="CS204" s="135"/>
      <c r="CT204" s="135"/>
      <c r="CU204" s="135"/>
      <c r="CV204" s="135"/>
      <c r="CW204" s="135"/>
      <c r="CX204" s="135"/>
      <c r="CY204" s="135"/>
      <c r="CZ204" s="135"/>
      <c r="DA204" s="135"/>
      <c r="DB204" s="135"/>
      <c r="DC204" s="135"/>
      <c r="DD204" s="135"/>
      <c r="DE204" s="135"/>
      <c r="DF204" s="135"/>
      <c r="DG204" s="135"/>
      <c r="DH204" s="135"/>
      <c r="DI204" s="135"/>
      <c r="DJ204" s="135"/>
      <c r="DK204" s="135"/>
      <c r="DL204" s="135"/>
      <c r="DM204" s="135"/>
      <c r="DN204" s="135"/>
      <c r="DO204" s="135"/>
      <c r="DP204" s="135"/>
      <c r="DQ204" s="135"/>
      <c r="DR204" s="135"/>
      <c r="DS204" s="135"/>
      <c r="DT204" s="135"/>
      <c r="DU204" s="135"/>
      <c r="DV204" s="135"/>
      <c r="DW204" s="135"/>
      <c r="DX204" s="135"/>
      <c r="DY204" s="135"/>
      <c r="DZ204" s="135"/>
      <c r="EA204" s="135"/>
      <c r="EB204" s="135"/>
      <c r="EC204" s="135"/>
      <c r="ED204" s="135"/>
      <c r="EE204" s="135"/>
      <c r="EF204" s="135"/>
      <c r="EG204" s="135"/>
      <c r="EH204" s="135"/>
      <c r="EI204" s="135"/>
      <c r="EJ204" s="135"/>
      <c r="EK204" s="135"/>
      <c r="EL204" s="135"/>
      <c r="EM204" s="135"/>
      <c r="EN204" s="135"/>
      <c r="EO204" s="135"/>
      <c r="EP204" s="135"/>
      <c r="EQ204" s="135"/>
      <c r="ER204" s="135"/>
      <c r="ES204" s="135"/>
      <c r="ET204" s="135"/>
      <c r="EU204" s="135"/>
      <c r="EV204" s="135"/>
      <c r="EW204" s="135"/>
      <c r="EX204" s="135"/>
      <c r="EY204" s="135"/>
      <c r="EZ204" s="135"/>
      <c r="FA204" s="135"/>
      <c r="FB204" s="135"/>
    </row>
    <row r="205" spans="4:158" hidden="1" x14ac:dyDescent="0.25"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5"/>
      <c r="X205" s="135"/>
      <c r="Y205" s="135"/>
      <c r="Z205" s="135"/>
      <c r="AA205" s="135"/>
      <c r="AB205" s="135"/>
      <c r="AC205" s="135"/>
      <c r="AD205" s="135"/>
      <c r="AE205" s="135"/>
      <c r="AF205" s="135"/>
      <c r="AG205" s="135"/>
      <c r="AH205" s="135"/>
      <c r="AI205" s="135"/>
      <c r="AJ205" s="135"/>
      <c r="AK205" s="135"/>
      <c r="AL205" s="135"/>
      <c r="AM205" s="135"/>
      <c r="AN205" s="135"/>
      <c r="AO205" s="135"/>
      <c r="AP205" s="135"/>
      <c r="AQ205" s="135"/>
      <c r="AR205" s="135"/>
      <c r="AS205" s="135"/>
      <c r="AT205" s="135"/>
      <c r="AU205" s="135"/>
      <c r="AV205" s="135"/>
      <c r="AW205" s="135"/>
      <c r="AX205" s="135"/>
      <c r="AY205" s="135"/>
      <c r="AZ205" s="135"/>
      <c r="BA205" s="135"/>
      <c r="BB205" s="135"/>
      <c r="BC205" s="135"/>
      <c r="BD205" s="135"/>
      <c r="BE205" s="135"/>
      <c r="BF205" s="135"/>
      <c r="BG205" s="135"/>
      <c r="BH205" s="135"/>
      <c r="BI205" s="135"/>
      <c r="BJ205" s="135"/>
      <c r="BK205" s="135"/>
      <c r="BL205" s="135"/>
      <c r="BM205" s="135"/>
      <c r="BN205" s="135"/>
      <c r="BO205" s="135"/>
      <c r="BP205" s="135"/>
      <c r="BQ205" s="135"/>
      <c r="BR205" s="135"/>
      <c r="BS205" s="135"/>
      <c r="BT205" s="135"/>
      <c r="BU205" s="135"/>
      <c r="BV205" s="135"/>
      <c r="BW205" s="135"/>
      <c r="BX205" s="135"/>
      <c r="BY205" s="135"/>
      <c r="BZ205" s="135"/>
      <c r="CA205" s="135"/>
      <c r="CB205" s="135"/>
      <c r="CC205" s="135"/>
      <c r="CD205" s="135"/>
      <c r="CE205" s="135"/>
      <c r="CF205" s="135"/>
      <c r="CG205" s="135"/>
      <c r="CH205" s="135"/>
      <c r="CI205" s="135"/>
      <c r="CJ205" s="135"/>
      <c r="CK205" s="135"/>
      <c r="CL205" s="135"/>
      <c r="CM205" s="135"/>
      <c r="CN205" s="135"/>
      <c r="CO205" s="135"/>
      <c r="CP205" s="135"/>
      <c r="CQ205" s="135"/>
      <c r="CR205" s="135"/>
      <c r="CS205" s="135"/>
      <c r="CT205" s="135"/>
      <c r="CU205" s="135"/>
      <c r="CV205" s="135"/>
      <c r="CW205" s="135"/>
      <c r="CX205" s="135"/>
      <c r="CY205" s="135"/>
      <c r="CZ205" s="135"/>
      <c r="DA205" s="135"/>
      <c r="DB205" s="135"/>
      <c r="DC205" s="135"/>
      <c r="DD205" s="135"/>
      <c r="DE205" s="135"/>
      <c r="DF205" s="135"/>
      <c r="DG205" s="135"/>
      <c r="DH205" s="135"/>
      <c r="DI205" s="135"/>
      <c r="DJ205" s="135"/>
      <c r="DK205" s="135"/>
      <c r="DL205" s="135"/>
      <c r="DM205" s="135"/>
      <c r="DN205" s="135"/>
      <c r="DO205" s="135"/>
      <c r="DP205" s="135"/>
      <c r="DQ205" s="135"/>
      <c r="DR205" s="135"/>
      <c r="DS205" s="135"/>
      <c r="DT205" s="135"/>
      <c r="DU205" s="135"/>
      <c r="DV205" s="135"/>
      <c r="DW205" s="135"/>
      <c r="DX205" s="135"/>
      <c r="DY205" s="135"/>
      <c r="DZ205" s="135"/>
      <c r="EA205" s="135"/>
      <c r="EB205" s="135"/>
      <c r="EC205" s="135"/>
      <c r="ED205" s="135"/>
      <c r="EE205" s="135"/>
      <c r="EF205" s="135"/>
      <c r="EG205" s="135"/>
      <c r="EH205" s="135"/>
      <c r="EI205" s="135"/>
      <c r="EJ205" s="135"/>
      <c r="EK205" s="135"/>
      <c r="EL205" s="135"/>
      <c r="EM205" s="135"/>
      <c r="EN205" s="135"/>
      <c r="EO205" s="135"/>
      <c r="EP205" s="135"/>
      <c r="EQ205" s="135"/>
      <c r="ER205" s="135"/>
      <c r="ES205" s="135"/>
      <c r="ET205" s="135"/>
      <c r="EU205" s="135"/>
      <c r="EV205" s="135"/>
      <c r="EW205" s="135"/>
      <c r="EX205" s="135"/>
      <c r="EY205" s="135"/>
      <c r="EZ205" s="135"/>
      <c r="FA205" s="135"/>
      <c r="FB205" s="135"/>
    </row>
    <row r="206" spans="4:158" hidden="1" x14ac:dyDescent="0.25"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  <c r="BE206" s="135"/>
      <c r="BF206" s="135"/>
      <c r="BG206" s="135"/>
      <c r="BH206" s="135"/>
      <c r="BI206" s="135"/>
      <c r="BJ206" s="135"/>
      <c r="BK206" s="135"/>
      <c r="BL206" s="135"/>
      <c r="BM206" s="135"/>
      <c r="BN206" s="135"/>
      <c r="BO206" s="135"/>
      <c r="BP206" s="135"/>
      <c r="BQ206" s="135"/>
      <c r="BR206" s="135"/>
      <c r="BS206" s="135"/>
      <c r="BT206" s="135"/>
      <c r="BU206" s="135"/>
      <c r="BV206" s="135"/>
      <c r="BW206" s="135"/>
      <c r="BX206" s="135"/>
      <c r="BY206" s="135"/>
      <c r="BZ206" s="135"/>
      <c r="CA206" s="135"/>
      <c r="CB206" s="135"/>
      <c r="CC206" s="135"/>
      <c r="CD206" s="135"/>
      <c r="CE206" s="135"/>
      <c r="CF206" s="135"/>
      <c r="CG206" s="135"/>
      <c r="CH206" s="135"/>
      <c r="CI206" s="135"/>
      <c r="CJ206" s="135"/>
      <c r="CK206" s="135"/>
      <c r="CL206" s="135"/>
      <c r="CM206" s="135"/>
      <c r="CN206" s="135"/>
      <c r="CO206" s="135"/>
      <c r="CP206" s="135"/>
      <c r="CQ206" s="135"/>
      <c r="CR206" s="135"/>
      <c r="CS206" s="135"/>
      <c r="CT206" s="135"/>
      <c r="CU206" s="135"/>
      <c r="CV206" s="135"/>
      <c r="CW206" s="135"/>
      <c r="CX206" s="135"/>
      <c r="CY206" s="135"/>
      <c r="CZ206" s="135"/>
      <c r="DA206" s="135"/>
      <c r="DB206" s="135"/>
      <c r="DC206" s="135"/>
      <c r="DD206" s="135"/>
      <c r="DE206" s="135"/>
      <c r="DF206" s="135"/>
      <c r="DG206" s="135"/>
      <c r="DH206" s="135"/>
      <c r="DI206" s="135"/>
      <c r="DJ206" s="135"/>
      <c r="DK206" s="135"/>
      <c r="DL206" s="135"/>
      <c r="DM206" s="135"/>
      <c r="DN206" s="135"/>
      <c r="DO206" s="135"/>
      <c r="DP206" s="135"/>
      <c r="DQ206" s="135"/>
      <c r="DR206" s="135"/>
      <c r="DS206" s="135"/>
      <c r="DT206" s="135"/>
      <c r="DU206" s="135"/>
      <c r="DV206" s="135"/>
      <c r="DW206" s="135"/>
      <c r="DX206" s="135"/>
      <c r="DY206" s="135"/>
      <c r="DZ206" s="135"/>
      <c r="EA206" s="135"/>
      <c r="EB206" s="135"/>
      <c r="EC206" s="135"/>
      <c r="ED206" s="135"/>
      <c r="EE206" s="135"/>
      <c r="EF206" s="135"/>
      <c r="EG206" s="135"/>
      <c r="EH206" s="135"/>
      <c r="EI206" s="135"/>
      <c r="EJ206" s="135"/>
      <c r="EK206" s="135"/>
      <c r="EL206" s="135"/>
      <c r="EM206" s="135"/>
      <c r="EN206" s="135"/>
      <c r="EO206" s="135"/>
      <c r="EP206" s="135"/>
      <c r="EQ206" s="135"/>
      <c r="ER206" s="135"/>
      <c r="ES206" s="135"/>
      <c r="ET206" s="135"/>
      <c r="EU206" s="135"/>
      <c r="EV206" s="135"/>
      <c r="EW206" s="135"/>
      <c r="EX206" s="135"/>
      <c r="EY206" s="135"/>
      <c r="EZ206" s="135"/>
      <c r="FA206" s="135"/>
      <c r="FB206" s="135"/>
    </row>
    <row r="207" spans="4:158" hidden="1" x14ac:dyDescent="0.25"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  <c r="BE207" s="135"/>
      <c r="BF207" s="135"/>
      <c r="BG207" s="135"/>
      <c r="BH207" s="135"/>
      <c r="BI207" s="135"/>
      <c r="BJ207" s="135"/>
      <c r="BK207" s="135"/>
      <c r="BL207" s="135"/>
      <c r="BM207" s="135"/>
      <c r="BN207" s="135"/>
      <c r="BO207" s="135"/>
      <c r="BP207" s="135"/>
      <c r="BQ207" s="135"/>
      <c r="BR207" s="135"/>
      <c r="BS207" s="135"/>
      <c r="BT207" s="135"/>
      <c r="BU207" s="135"/>
      <c r="BV207" s="135"/>
      <c r="BW207" s="135"/>
      <c r="BX207" s="135"/>
      <c r="BY207" s="135"/>
      <c r="BZ207" s="135"/>
      <c r="CA207" s="135"/>
      <c r="CB207" s="135"/>
      <c r="CC207" s="135"/>
      <c r="CD207" s="135"/>
      <c r="CE207" s="135"/>
      <c r="CF207" s="135"/>
      <c r="CG207" s="135"/>
      <c r="CH207" s="135"/>
      <c r="CI207" s="135"/>
      <c r="CJ207" s="135"/>
      <c r="CK207" s="135"/>
      <c r="CL207" s="135"/>
      <c r="CM207" s="135"/>
      <c r="CN207" s="135"/>
      <c r="CO207" s="135"/>
      <c r="CP207" s="135"/>
      <c r="CQ207" s="135"/>
      <c r="CR207" s="135"/>
      <c r="CS207" s="135"/>
      <c r="CT207" s="135"/>
      <c r="CU207" s="135"/>
      <c r="CV207" s="135"/>
      <c r="CW207" s="135"/>
      <c r="CX207" s="135"/>
      <c r="CY207" s="135"/>
      <c r="CZ207" s="135"/>
      <c r="DA207" s="135"/>
      <c r="DB207" s="135"/>
      <c r="DC207" s="135"/>
      <c r="DD207" s="135"/>
      <c r="DE207" s="135"/>
      <c r="DF207" s="135"/>
      <c r="DG207" s="135"/>
      <c r="DH207" s="135"/>
      <c r="DI207" s="135"/>
      <c r="DJ207" s="135"/>
      <c r="DK207" s="135"/>
      <c r="DL207" s="135"/>
      <c r="DM207" s="135"/>
      <c r="DN207" s="135"/>
      <c r="DO207" s="135"/>
      <c r="DP207" s="135"/>
      <c r="DQ207" s="135"/>
      <c r="DR207" s="135"/>
      <c r="DS207" s="135"/>
      <c r="DT207" s="135"/>
      <c r="DU207" s="135"/>
      <c r="DV207" s="135"/>
      <c r="DW207" s="135"/>
      <c r="DX207" s="135"/>
      <c r="DY207" s="135"/>
      <c r="DZ207" s="135"/>
      <c r="EA207" s="135"/>
      <c r="EB207" s="135"/>
      <c r="EC207" s="135"/>
      <c r="ED207" s="135"/>
      <c r="EE207" s="135"/>
      <c r="EF207" s="135"/>
      <c r="EG207" s="135"/>
      <c r="EH207" s="135"/>
      <c r="EI207" s="135"/>
      <c r="EJ207" s="135"/>
      <c r="EK207" s="135"/>
      <c r="EL207" s="135"/>
      <c r="EM207" s="135"/>
      <c r="EN207" s="135"/>
      <c r="EO207" s="135"/>
      <c r="EP207" s="135"/>
      <c r="EQ207" s="135"/>
      <c r="ER207" s="135"/>
      <c r="ES207" s="135"/>
      <c r="ET207" s="135"/>
      <c r="EU207" s="135"/>
      <c r="EV207" s="135"/>
      <c r="EW207" s="135"/>
      <c r="EX207" s="135"/>
      <c r="EY207" s="135"/>
      <c r="EZ207" s="135"/>
      <c r="FA207" s="135"/>
      <c r="FB207" s="135"/>
    </row>
    <row r="208" spans="4:158" hidden="1" x14ac:dyDescent="0.25"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  <c r="Y208" s="135"/>
      <c r="Z208" s="135"/>
      <c r="AA208" s="135"/>
      <c r="AB208" s="135"/>
      <c r="AC208" s="135"/>
      <c r="AD208" s="135"/>
      <c r="AE208" s="135"/>
      <c r="AF208" s="135"/>
      <c r="AG208" s="135"/>
      <c r="AH208" s="135"/>
      <c r="AI208" s="135"/>
      <c r="AJ208" s="135"/>
      <c r="AK208" s="135"/>
      <c r="AL208" s="135"/>
      <c r="AM208" s="135"/>
      <c r="AN208" s="135"/>
      <c r="AO208" s="135"/>
      <c r="AP208" s="135"/>
      <c r="AQ208" s="135"/>
      <c r="AR208" s="135"/>
      <c r="AS208" s="135"/>
      <c r="AT208" s="135"/>
      <c r="AU208" s="135"/>
      <c r="AV208" s="135"/>
      <c r="AW208" s="135"/>
      <c r="AX208" s="135"/>
      <c r="AY208" s="135"/>
      <c r="AZ208" s="135"/>
      <c r="BA208" s="135"/>
      <c r="BB208" s="135"/>
      <c r="BC208" s="135"/>
      <c r="BD208" s="135"/>
      <c r="BE208" s="135"/>
      <c r="BF208" s="135"/>
      <c r="BG208" s="135"/>
      <c r="BH208" s="135"/>
      <c r="BI208" s="135"/>
      <c r="BJ208" s="135"/>
      <c r="BK208" s="135"/>
      <c r="BL208" s="135"/>
      <c r="BM208" s="135"/>
      <c r="BN208" s="135"/>
      <c r="BO208" s="135"/>
      <c r="BP208" s="135"/>
      <c r="BQ208" s="135"/>
      <c r="BR208" s="135"/>
      <c r="BS208" s="135"/>
      <c r="BT208" s="135"/>
      <c r="BU208" s="135"/>
      <c r="BV208" s="135"/>
      <c r="BW208" s="135"/>
      <c r="BX208" s="135"/>
      <c r="BY208" s="135"/>
      <c r="BZ208" s="135"/>
      <c r="CA208" s="135"/>
      <c r="CB208" s="135"/>
      <c r="CC208" s="135"/>
      <c r="CD208" s="135"/>
      <c r="CE208" s="135"/>
      <c r="CF208" s="135"/>
      <c r="CG208" s="135"/>
      <c r="CH208" s="135"/>
      <c r="CI208" s="135"/>
      <c r="CJ208" s="135"/>
      <c r="CK208" s="135"/>
      <c r="CL208" s="135"/>
      <c r="CM208" s="135"/>
      <c r="CN208" s="135"/>
      <c r="CO208" s="135"/>
      <c r="CP208" s="135"/>
      <c r="CQ208" s="135"/>
      <c r="CR208" s="135"/>
      <c r="CS208" s="135"/>
      <c r="CT208" s="135"/>
      <c r="CU208" s="135"/>
      <c r="CV208" s="135"/>
      <c r="CW208" s="135"/>
      <c r="CX208" s="135"/>
      <c r="CY208" s="135"/>
      <c r="CZ208" s="135"/>
      <c r="DA208" s="135"/>
      <c r="DB208" s="135"/>
      <c r="DC208" s="135"/>
      <c r="DD208" s="135"/>
      <c r="DE208" s="135"/>
      <c r="DF208" s="135"/>
      <c r="DG208" s="135"/>
      <c r="DH208" s="135"/>
      <c r="DI208" s="135"/>
      <c r="DJ208" s="135"/>
      <c r="DK208" s="135"/>
      <c r="DL208" s="135"/>
      <c r="DM208" s="135"/>
      <c r="DN208" s="135"/>
      <c r="DO208" s="135"/>
      <c r="DP208" s="135"/>
      <c r="DQ208" s="135"/>
      <c r="DR208" s="135"/>
      <c r="DS208" s="135"/>
      <c r="DT208" s="135"/>
      <c r="DU208" s="135"/>
      <c r="DV208" s="135"/>
      <c r="DW208" s="135"/>
      <c r="DX208" s="135"/>
      <c r="DY208" s="135"/>
      <c r="DZ208" s="135"/>
      <c r="EA208" s="135"/>
      <c r="EB208" s="135"/>
      <c r="EC208" s="135"/>
      <c r="ED208" s="135"/>
      <c r="EE208" s="135"/>
      <c r="EF208" s="135"/>
      <c r="EG208" s="135"/>
      <c r="EH208" s="135"/>
      <c r="EI208" s="135"/>
      <c r="EJ208" s="135"/>
      <c r="EK208" s="135"/>
      <c r="EL208" s="135"/>
      <c r="EM208" s="135"/>
      <c r="EN208" s="135"/>
      <c r="EO208" s="135"/>
      <c r="EP208" s="135"/>
      <c r="EQ208" s="135"/>
      <c r="ER208" s="135"/>
      <c r="ES208" s="135"/>
      <c r="ET208" s="135"/>
      <c r="EU208" s="135"/>
      <c r="EV208" s="135"/>
      <c r="EW208" s="135"/>
      <c r="EX208" s="135"/>
      <c r="EY208" s="135"/>
      <c r="EZ208" s="135"/>
      <c r="FA208" s="135"/>
      <c r="FB208" s="135"/>
    </row>
    <row r="209" spans="4:158" hidden="1" x14ac:dyDescent="0.25"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  <c r="Y209" s="135"/>
      <c r="Z209" s="135"/>
      <c r="AA209" s="135"/>
      <c r="AB209" s="135"/>
      <c r="AC209" s="135"/>
      <c r="AD209" s="135"/>
      <c r="AE209" s="135"/>
      <c r="AF209" s="135"/>
      <c r="AG209" s="135"/>
      <c r="AH209" s="135"/>
      <c r="AI209" s="135"/>
      <c r="AJ209" s="135"/>
      <c r="AK209" s="135"/>
      <c r="AL209" s="135"/>
      <c r="AM209" s="135"/>
      <c r="AN209" s="135"/>
      <c r="AO209" s="135"/>
      <c r="AP209" s="135"/>
      <c r="AQ209" s="135"/>
      <c r="AR209" s="135"/>
      <c r="AS209" s="135"/>
      <c r="AT209" s="135"/>
      <c r="AU209" s="135"/>
      <c r="AV209" s="135"/>
      <c r="AW209" s="135"/>
      <c r="AX209" s="135"/>
      <c r="AY209" s="135"/>
      <c r="AZ209" s="135"/>
      <c r="BA209" s="135"/>
      <c r="BB209" s="135"/>
      <c r="BC209" s="135"/>
      <c r="BD209" s="135"/>
      <c r="BE209" s="135"/>
      <c r="BF209" s="135"/>
      <c r="BG209" s="135"/>
      <c r="BH209" s="135"/>
      <c r="BI209" s="135"/>
      <c r="BJ209" s="135"/>
      <c r="BK209" s="135"/>
      <c r="BL209" s="135"/>
      <c r="BM209" s="135"/>
      <c r="BN209" s="135"/>
      <c r="BO209" s="135"/>
      <c r="BP209" s="135"/>
      <c r="BQ209" s="135"/>
      <c r="BR209" s="135"/>
      <c r="BS209" s="135"/>
      <c r="BT209" s="135"/>
      <c r="BU209" s="135"/>
      <c r="BV209" s="135"/>
      <c r="BW209" s="135"/>
      <c r="BX209" s="135"/>
      <c r="BY209" s="135"/>
      <c r="BZ209" s="135"/>
      <c r="CA209" s="135"/>
      <c r="CB209" s="135"/>
      <c r="CC209" s="135"/>
      <c r="CD209" s="135"/>
      <c r="CE209" s="135"/>
      <c r="CF209" s="135"/>
      <c r="CG209" s="135"/>
      <c r="CH209" s="135"/>
      <c r="CI209" s="135"/>
      <c r="CJ209" s="135"/>
      <c r="CK209" s="135"/>
      <c r="CL209" s="135"/>
      <c r="CM209" s="135"/>
      <c r="CN209" s="135"/>
      <c r="CO209" s="135"/>
      <c r="CP209" s="135"/>
      <c r="CQ209" s="135"/>
      <c r="CR209" s="135"/>
      <c r="CS209" s="135"/>
      <c r="CT209" s="135"/>
      <c r="CU209" s="135"/>
      <c r="CV209" s="135"/>
      <c r="CW209" s="135"/>
      <c r="CX209" s="135"/>
      <c r="CY209" s="135"/>
      <c r="CZ209" s="135"/>
      <c r="DA209" s="135"/>
      <c r="DB209" s="135"/>
      <c r="DC209" s="135"/>
      <c r="DD209" s="135"/>
      <c r="DE209" s="135"/>
      <c r="DF209" s="135"/>
      <c r="DG209" s="135"/>
      <c r="DH209" s="135"/>
      <c r="DI209" s="135"/>
      <c r="DJ209" s="135"/>
      <c r="DK209" s="135"/>
      <c r="DL209" s="135"/>
      <c r="DM209" s="135"/>
      <c r="DN209" s="135"/>
      <c r="DO209" s="135"/>
      <c r="DP209" s="135"/>
      <c r="DQ209" s="135"/>
      <c r="DR209" s="135"/>
      <c r="DS209" s="135"/>
      <c r="DT209" s="135"/>
      <c r="DU209" s="135"/>
      <c r="DV209" s="135"/>
      <c r="DW209" s="135"/>
      <c r="DX209" s="135"/>
      <c r="DY209" s="135"/>
      <c r="DZ209" s="135"/>
      <c r="EA209" s="135"/>
      <c r="EB209" s="135"/>
      <c r="EC209" s="135"/>
      <c r="ED209" s="135"/>
      <c r="EE209" s="135"/>
      <c r="EF209" s="135"/>
      <c r="EG209" s="135"/>
      <c r="EH209" s="135"/>
      <c r="EI209" s="135"/>
      <c r="EJ209" s="135"/>
      <c r="EK209" s="135"/>
      <c r="EL209" s="135"/>
      <c r="EM209" s="135"/>
      <c r="EN209" s="135"/>
      <c r="EO209" s="135"/>
      <c r="EP209" s="135"/>
      <c r="EQ209" s="135"/>
      <c r="ER209" s="135"/>
      <c r="ES209" s="135"/>
      <c r="ET209" s="135"/>
      <c r="EU209" s="135"/>
      <c r="EV209" s="135"/>
      <c r="EW209" s="135"/>
      <c r="EX209" s="135"/>
      <c r="EY209" s="135"/>
      <c r="EZ209" s="135"/>
      <c r="FA209" s="135"/>
      <c r="FB209" s="135"/>
    </row>
    <row r="210" spans="4:158" hidden="1" x14ac:dyDescent="0.25"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135"/>
      <c r="AA210" s="135"/>
      <c r="AB210" s="135"/>
      <c r="AC210" s="135"/>
      <c r="AD210" s="135"/>
      <c r="AE210" s="135"/>
      <c r="AF210" s="135"/>
      <c r="AG210" s="135"/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  <c r="BE210" s="135"/>
      <c r="BF210" s="135"/>
      <c r="BG210" s="135"/>
      <c r="BH210" s="135"/>
      <c r="BI210" s="135"/>
      <c r="BJ210" s="135"/>
      <c r="BK210" s="135"/>
      <c r="BL210" s="135"/>
      <c r="BM210" s="135"/>
      <c r="BN210" s="135"/>
      <c r="BO210" s="135"/>
      <c r="BP210" s="135"/>
      <c r="BQ210" s="135"/>
      <c r="BR210" s="135"/>
      <c r="BS210" s="135"/>
      <c r="BT210" s="135"/>
      <c r="BU210" s="135"/>
      <c r="BV210" s="135"/>
      <c r="BW210" s="135"/>
      <c r="BX210" s="135"/>
      <c r="BY210" s="135"/>
      <c r="BZ210" s="135"/>
      <c r="CA210" s="135"/>
      <c r="CB210" s="135"/>
      <c r="CC210" s="135"/>
      <c r="CD210" s="135"/>
      <c r="CE210" s="135"/>
      <c r="CF210" s="135"/>
      <c r="CG210" s="135"/>
      <c r="CH210" s="135"/>
      <c r="CI210" s="135"/>
      <c r="CJ210" s="135"/>
      <c r="CK210" s="135"/>
      <c r="CL210" s="135"/>
      <c r="CM210" s="135"/>
      <c r="CN210" s="135"/>
      <c r="CO210" s="135"/>
      <c r="CP210" s="135"/>
      <c r="CQ210" s="135"/>
      <c r="CR210" s="135"/>
      <c r="CS210" s="135"/>
      <c r="CT210" s="135"/>
      <c r="CU210" s="135"/>
      <c r="CV210" s="135"/>
      <c r="CW210" s="135"/>
      <c r="CX210" s="135"/>
      <c r="CY210" s="135"/>
      <c r="CZ210" s="135"/>
      <c r="DA210" s="135"/>
      <c r="DB210" s="135"/>
      <c r="DC210" s="135"/>
      <c r="DD210" s="135"/>
      <c r="DE210" s="135"/>
      <c r="DF210" s="135"/>
      <c r="DG210" s="135"/>
      <c r="DH210" s="135"/>
      <c r="DI210" s="135"/>
      <c r="DJ210" s="135"/>
      <c r="DK210" s="135"/>
      <c r="DL210" s="135"/>
      <c r="DM210" s="135"/>
      <c r="DN210" s="135"/>
      <c r="DO210" s="135"/>
      <c r="DP210" s="135"/>
      <c r="DQ210" s="135"/>
      <c r="DR210" s="135"/>
      <c r="DS210" s="135"/>
      <c r="DT210" s="135"/>
      <c r="DU210" s="135"/>
      <c r="DV210" s="135"/>
      <c r="DW210" s="135"/>
      <c r="DX210" s="135"/>
      <c r="DY210" s="135"/>
      <c r="DZ210" s="135"/>
      <c r="EA210" s="135"/>
      <c r="EB210" s="135"/>
      <c r="EC210" s="135"/>
      <c r="ED210" s="135"/>
      <c r="EE210" s="135"/>
      <c r="EF210" s="135"/>
      <c r="EG210" s="135"/>
      <c r="EH210" s="135"/>
      <c r="EI210" s="135"/>
      <c r="EJ210" s="135"/>
      <c r="EK210" s="135"/>
      <c r="EL210" s="135"/>
      <c r="EM210" s="135"/>
      <c r="EN210" s="135"/>
      <c r="EO210" s="135"/>
      <c r="EP210" s="135"/>
      <c r="EQ210" s="135"/>
      <c r="ER210" s="135"/>
      <c r="ES210" s="135"/>
      <c r="ET210" s="135"/>
      <c r="EU210" s="135"/>
      <c r="EV210" s="135"/>
      <c r="EW210" s="135"/>
      <c r="EX210" s="135"/>
      <c r="EY210" s="135"/>
      <c r="EZ210" s="135"/>
      <c r="FA210" s="135"/>
      <c r="FB210" s="135"/>
    </row>
    <row r="211" spans="4:158" hidden="1" x14ac:dyDescent="0.25"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  <c r="Y211" s="135"/>
      <c r="Z211" s="135"/>
      <c r="AA211" s="135"/>
      <c r="AB211" s="135"/>
      <c r="AC211" s="135"/>
      <c r="AD211" s="135"/>
      <c r="AE211" s="135"/>
      <c r="AF211" s="135"/>
      <c r="AG211" s="135"/>
      <c r="AH211" s="135"/>
      <c r="AI211" s="135"/>
      <c r="AJ211" s="135"/>
      <c r="AK211" s="135"/>
      <c r="AL211" s="135"/>
      <c r="AM211" s="135"/>
      <c r="AN211" s="135"/>
      <c r="AO211" s="135"/>
      <c r="AP211" s="135"/>
      <c r="AQ211" s="135"/>
      <c r="AR211" s="135"/>
      <c r="AS211" s="135"/>
      <c r="AT211" s="135"/>
      <c r="AU211" s="135"/>
      <c r="AV211" s="135"/>
      <c r="AW211" s="135"/>
      <c r="AX211" s="135"/>
      <c r="AY211" s="135"/>
      <c r="AZ211" s="135"/>
      <c r="BA211" s="135"/>
      <c r="BB211" s="135"/>
      <c r="BC211" s="135"/>
      <c r="BD211" s="135"/>
      <c r="BE211" s="135"/>
      <c r="BF211" s="135"/>
      <c r="BG211" s="135"/>
      <c r="BH211" s="135"/>
      <c r="BI211" s="135"/>
      <c r="BJ211" s="135"/>
      <c r="BK211" s="135"/>
      <c r="BL211" s="135"/>
      <c r="BM211" s="135"/>
      <c r="BN211" s="135"/>
      <c r="BO211" s="135"/>
      <c r="BP211" s="135"/>
      <c r="BQ211" s="135"/>
      <c r="BR211" s="135"/>
      <c r="BS211" s="135"/>
      <c r="BT211" s="135"/>
      <c r="BU211" s="135"/>
      <c r="BV211" s="135"/>
      <c r="BW211" s="135"/>
      <c r="BX211" s="135"/>
      <c r="BY211" s="135"/>
      <c r="BZ211" s="135"/>
      <c r="CA211" s="135"/>
      <c r="CB211" s="135"/>
      <c r="CC211" s="135"/>
      <c r="CD211" s="135"/>
      <c r="CE211" s="135"/>
      <c r="CF211" s="135"/>
      <c r="CG211" s="135"/>
      <c r="CH211" s="135"/>
      <c r="CI211" s="135"/>
      <c r="CJ211" s="135"/>
      <c r="CK211" s="135"/>
      <c r="CL211" s="135"/>
      <c r="CM211" s="135"/>
      <c r="CN211" s="135"/>
      <c r="CO211" s="135"/>
      <c r="CP211" s="135"/>
      <c r="CQ211" s="135"/>
      <c r="CR211" s="135"/>
      <c r="CS211" s="135"/>
      <c r="CT211" s="135"/>
      <c r="CU211" s="135"/>
      <c r="CV211" s="135"/>
      <c r="CW211" s="135"/>
      <c r="CX211" s="135"/>
      <c r="CY211" s="135"/>
      <c r="CZ211" s="135"/>
      <c r="DA211" s="135"/>
      <c r="DB211" s="135"/>
      <c r="DC211" s="135"/>
      <c r="DD211" s="135"/>
      <c r="DE211" s="135"/>
      <c r="DF211" s="135"/>
      <c r="DG211" s="135"/>
      <c r="DH211" s="135"/>
      <c r="DI211" s="135"/>
      <c r="DJ211" s="135"/>
      <c r="DK211" s="135"/>
      <c r="DL211" s="135"/>
      <c r="DM211" s="135"/>
      <c r="DN211" s="135"/>
      <c r="DO211" s="135"/>
      <c r="DP211" s="135"/>
      <c r="DQ211" s="135"/>
      <c r="DR211" s="135"/>
      <c r="DS211" s="135"/>
      <c r="DT211" s="135"/>
      <c r="DU211" s="135"/>
      <c r="DV211" s="135"/>
      <c r="DW211" s="135"/>
      <c r="DX211" s="135"/>
      <c r="DY211" s="135"/>
      <c r="DZ211" s="135"/>
      <c r="EA211" s="135"/>
      <c r="EB211" s="135"/>
      <c r="EC211" s="135"/>
      <c r="ED211" s="135"/>
      <c r="EE211" s="135"/>
      <c r="EF211" s="135"/>
      <c r="EG211" s="135"/>
      <c r="EH211" s="135"/>
      <c r="EI211" s="135"/>
      <c r="EJ211" s="135"/>
      <c r="EK211" s="135"/>
      <c r="EL211" s="135"/>
      <c r="EM211" s="135"/>
      <c r="EN211" s="135"/>
      <c r="EO211" s="135"/>
      <c r="EP211" s="135"/>
      <c r="EQ211" s="135"/>
      <c r="ER211" s="135"/>
      <c r="ES211" s="135"/>
      <c r="ET211" s="135"/>
      <c r="EU211" s="135"/>
      <c r="EV211" s="135"/>
      <c r="EW211" s="135"/>
      <c r="EX211" s="135"/>
      <c r="EY211" s="135"/>
      <c r="EZ211" s="135"/>
      <c r="FA211" s="135"/>
      <c r="FB211" s="135"/>
    </row>
    <row r="212" spans="4:158" hidden="1" x14ac:dyDescent="0.25"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  <c r="W212" s="135"/>
      <c r="X212" s="135"/>
      <c r="Y212" s="135"/>
      <c r="Z212" s="135"/>
      <c r="AA212" s="135"/>
      <c r="AB212" s="135"/>
      <c r="AC212" s="135"/>
      <c r="AD212" s="135"/>
      <c r="AE212" s="135"/>
      <c r="AF212" s="135"/>
      <c r="AG212" s="135"/>
      <c r="AH212" s="135"/>
      <c r="AI212" s="135"/>
      <c r="AJ212" s="135"/>
      <c r="AK212" s="135"/>
      <c r="AL212" s="135"/>
      <c r="AM212" s="135"/>
      <c r="AN212" s="135"/>
      <c r="AO212" s="135"/>
      <c r="AP212" s="135"/>
      <c r="AQ212" s="135"/>
      <c r="AR212" s="135"/>
      <c r="AS212" s="135"/>
      <c r="AT212" s="135"/>
      <c r="AU212" s="135"/>
      <c r="AV212" s="135"/>
      <c r="AW212" s="135"/>
      <c r="AX212" s="135"/>
      <c r="AY212" s="135"/>
      <c r="AZ212" s="135"/>
      <c r="BA212" s="135"/>
      <c r="BB212" s="135"/>
      <c r="BC212" s="135"/>
      <c r="BD212" s="135"/>
      <c r="BE212" s="135"/>
      <c r="BF212" s="135"/>
      <c r="BG212" s="135"/>
      <c r="BH212" s="135"/>
      <c r="BI212" s="135"/>
      <c r="BJ212" s="135"/>
      <c r="BK212" s="135"/>
      <c r="BL212" s="135"/>
      <c r="BM212" s="135"/>
      <c r="BN212" s="135"/>
      <c r="BO212" s="135"/>
      <c r="BP212" s="135"/>
      <c r="BQ212" s="135"/>
      <c r="BR212" s="135"/>
      <c r="BS212" s="135"/>
      <c r="BT212" s="135"/>
      <c r="BU212" s="135"/>
      <c r="BV212" s="135"/>
      <c r="BW212" s="135"/>
      <c r="BX212" s="135"/>
      <c r="BY212" s="135"/>
      <c r="BZ212" s="135"/>
      <c r="CA212" s="135"/>
      <c r="CB212" s="135"/>
      <c r="CC212" s="135"/>
      <c r="CD212" s="135"/>
      <c r="CE212" s="135"/>
      <c r="CF212" s="135"/>
      <c r="CG212" s="135"/>
      <c r="CH212" s="135"/>
      <c r="CI212" s="135"/>
      <c r="CJ212" s="135"/>
      <c r="CK212" s="135"/>
      <c r="CL212" s="135"/>
      <c r="CM212" s="135"/>
      <c r="CN212" s="135"/>
      <c r="CO212" s="135"/>
      <c r="CP212" s="135"/>
      <c r="CQ212" s="135"/>
      <c r="CR212" s="135"/>
      <c r="CS212" s="135"/>
      <c r="CT212" s="135"/>
      <c r="CU212" s="135"/>
      <c r="CV212" s="135"/>
      <c r="CW212" s="135"/>
      <c r="CX212" s="135"/>
      <c r="CY212" s="135"/>
      <c r="CZ212" s="135"/>
      <c r="DA212" s="135"/>
      <c r="DB212" s="135"/>
      <c r="DC212" s="135"/>
      <c r="DD212" s="135"/>
      <c r="DE212" s="135"/>
      <c r="DF212" s="135"/>
      <c r="DG212" s="135"/>
      <c r="DH212" s="135"/>
      <c r="DI212" s="135"/>
      <c r="DJ212" s="135"/>
      <c r="DK212" s="135"/>
      <c r="DL212" s="135"/>
      <c r="DM212" s="135"/>
      <c r="DN212" s="135"/>
      <c r="DO212" s="135"/>
      <c r="DP212" s="135"/>
      <c r="DQ212" s="135"/>
      <c r="DR212" s="135"/>
      <c r="DS212" s="135"/>
      <c r="DT212" s="135"/>
      <c r="DU212" s="135"/>
      <c r="DV212" s="135"/>
      <c r="DW212" s="135"/>
      <c r="DX212" s="135"/>
      <c r="DY212" s="135"/>
      <c r="DZ212" s="135"/>
      <c r="EA212" s="135"/>
      <c r="EB212" s="135"/>
      <c r="EC212" s="135"/>
      <c r="ED212" s="135"/>
      <c r="EE212" s="135"/>
      <c r="EF212" s="135"/>
      <c r="EG212" s="135"/>
      <c r="EH212" s="135"/>
      <c r="EI212" s="135"/>
      <c r="EJ212" s="135"/>
      <c r="EK212" s="135"/>
      <c r="EL212" s="135"/>
      <c r="EM212" s="135"/>
      <c r="EN212" s="135"/>
      <c r="EO212" s="135"/>
      <c r="EP212" s="135"/>
      <c r="EQ212" s="135"/>
      <c r="ER212" s="135"/>
      <c r="ES212" s="135"/>
      <c r="ET212" s="135"/>
      <c r="EU212" s="135"/>
      <c r="EV212" s="135"/>
      <c r="EW212" s="135"/>
      <c r="EX212" s="135"/>
      <c r="EY212" s="135"/>
      <c r="EZ212" s="135"/>
      <c r="FA212" s="135"/>
      <c r="FB212" s="135"/>
    </row>
    <row r="213" spans="4:158" hidden="1" x14ac:dyDescent="0.25"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  <c r="BI213" s="135"/>
      <c r="BJ213" s="135"/>
      <c r="BK213" s="135"/>
      <c r="BL213" s="135"/>
      <c r="BM213" s="135"/>
      <c r="BN213" s="135"/>
      <c r="BO213" s="135"/>
      <c r="BP213" s="135"/>
      <c r="BQ213" s="135"/>
      <c r="BR213" s="135"/>
      <c r="BS213" s="135"/>
      <c r="BT213" s="135"/>
      <c r="BU213" s="135"/>
      <c r="BV213" s="135"/>
      <c r="BW213" s="135"/>
      <c r="BX213" s="135"/>
      <c r="BY213" s="135"/>
      <c r="BZ213" s="135"/>
      <c r="CA213" s="135"/>
      <c r="CB213" s="135"/>
      <c r="CC213" s="135"/>
      <c r="CD213" s="135"/>
      <c r="CE213" s="135"/>
      <c r="CF213" s="135"/>
      <c r="CG213" s="135"/>
      <c r="CH213" s="135"/>
      <c r="CI213" s="135"/>
      <c r="CJ213" s="135"/>
      <c r="CK213" s="135"/>
      <c r="CL213" s="135"/>
      <c r="CM213" s="135"/>
      <c r="CN213" s="135"/>
      <c r="CO213" s="135"/>
      <c r="CP213" s="135"/>
      <c r="CQ213" s="135"/>
      <c r="CR213" s="135"/>
      <c r="CS213" s="135"/>
      <c r="CT213" s="135"/>
      <c r="CU213" s="135"/>
      <c r="CV213" s="135"/>
      <c r="CW213" s="135"/>
      <c r="CX213" s="135"/>
      <c r="CY213" s="135"/>
      <c r="CZ213" s="135"/>
      <c r="DA213" s="135"/>
      <c r="DB213" s="135"/>
      <c r="DC213" s="135"/>
      <c r="DD213" s="135"/>
      <c r="DE213" s="135"/>
      <c r="DF213" s="135"/>
      <c r="DG213" s="135"/>
      <c r="DH213" s="135"/>
      <c r="DI213" s="135"/>
      <c r="DJ213" s="135"/>
      <c r="DK213" s="135"/>
      <c r="DL213" s="135"/>
      <c r="DM213" s="135"/>
      <c r="DN213" s="135"/>
      <c r="DO213" s="135"/>
      <c r="DP213" s="135"/>
      <c r="DQ213" s="135"/>
      <c r="DR213" s="135"/>
      <c r="DS213" s="135"/>
      <c r="DT213" s="135"/>
      <c r="DU213" s="135"/>
      <c r="DV213" s="135"/>
      <c r="DW213" s="135"/>
      <c r="DX213" s="135"/>
      <c r="DY213" s="135"/>
      <c r="DZ213" s="135"/>
      <c r="EA213" s="135"/>
      <c r="EB213" s="135"/>
      <c r="EC213" s="135"/>
      <c r="ED213" s="135"/>
      <c r="EE213" s="135"/>
      <c r="EF213" s="135"/>
      <c r="EG213" s="135"/>
      <c r="EH213" s="135"/>
      <c r="EI213" s="135"/>
      <c r="EJ213" s="135"/>
      <c r="EK213" s="135"/>
      <c r="EL213" s="135"/>
      <c r="EM213" s="135"/>
      <c r="EN213" s="135"/>
      <c r="EO213" s="135"/>
      <c r="EP213" s="135"/>
      <c r="EQ213" s="135"/>
      <c r="ER213" s="135"/>
      <c r="ES213" s="135"/>
      <c r="ET213" s="135"/>
      <c r="EU213" s="135"/>
      <c r="EV213" s="135"/>
      <c r="EW213" s="135"/>
      <c r="EX213" s="135"/>
      <c r="EY213" s="135"/>
      <c r="EZ213" s="135"/>
      <c r="FA213" s="135"/>
      <c r="FB213" s="135"/>
    </row>
    <row r="214" spans="4:158" hidden="1" x14ac:dyDescent="0.25"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  <c r="Y214" s="135"/>
      <c r="Z214" s="135"/>
      <c r="AA214" s="135"/>
      <c r="AB214" s="135"/>
      <c r="AC214" s="135"/>
      <c r="AD214" s="135"/>
      <c r="AE214" s="135"/>
      <c r="AF214" s="135"/>
      <c r="AG214" s="135"/>
      <c r="AH214" s="135"/>
      <c r="AI214" s="135"/>
      <c r="AJ214" s="135"/>
      <c r="AK214" s="135"/>
      <c r="AL214" s="135"/>
      <c r="AM214" s="135"/>
      <c r="AN214" s="135"/>
      <c r="AO214" s="135"/>
      <c r="AP214" s="135"/>
      <c r="AQ214" s="135"/>
      <c r="AR214" s="135"/>
      <c r="AS214" s="135"/>
      <c r="AT214" s="135"/>
      <c r="AU214" s="135"/>
      <c r="AV214" s="135"/>
      <c r="AW214" s="135"/>
      <c r="AX214" s="135"/>
      <c r="AY214" s="135"/>
      <c r="AZ214" s="135"/>
      <c r="BA214" s="135"/>
      <c r="BB214" s="135"/>
      <c r="BC214" s="135"/>
      <c r="BD214" s="135"/>
      <c r="BE214" s="135"/>
      <c r="BF214" s="135"/>
      <c r="BG214" s="135"/>
      <c r="BH214" s="135"/>
      <c r="BI214" s="135"/>
      <c r="BJ214" s="135"/>
      <c r="BK214" s="135"/>
      <c r="BL214" s="135"/>
      <c r="BM214" s="135"/>
      <c r="BN214" s="135"/>
      <c r="BO214" s="135"/>
      <c r="BP214" s="135"/>
      <c r="BQ214" s="135"/>
      <c r="BR214" s="135"/>
      <c r="BS214" s="135"/>
      <c r="BT214" s="135"/>
      <c r="BU214" s="135"/>
      <c r="BV214" s="135"/>
      <c r="BW214" s="135"/>
      <c r="BX214" s="135"/>
      <c r="BY214" s="135"/>
      <c r="BZ214" s="135"/>
      <c r="CA214" s="135"/>
      <c r="CB214" s="135"/>
      <c r="CC214" s="135"/>
      <c r="CD214" s="135"/>
      <c r="CE214" s="135"/>
      <c r="CF214" s="135"/>
      <c r="CG214" s="135"/>
      <c r="CH214" s="135"/>
      <c r="CI214" s="135"/>
      <c r="CJ214" s="135"/>
      <c r="CK214" s="135"/>
      <c r="CL214" s="135"/>
      <c r="CM214" s="135"/>
      <c r="CN214" s="135"/>
      <c r="CO214" s="135"/>
      <c r="CP214" s="135"/>
      <c r="CQ214" s="135"/>
      <c r="CR214" s="135"/>
      <c r="CS214" s="135"/>
      <c r="CT214" s="135"/>
      <c r="CU214" s="135"/>
      <c r="CV214" s="135"/>
      <c r="CW214" s="135"/>
      <c r="CX214" s="135"/>
      <c r="CY214" s="135"/>
      <c r="CZ214" s="135"/>
      <c r="DA214" s="135"/>
      <c r="DB214" s="135"/>
      <c r="DC214" s="135"/>
      <c r="DD214" s="135"/>
      <c r="DE214" s="135"/>
      <c r="DF214" s="135"/>
      <c r="DG214" s="135"/>
      <c r="DH214" s="135"/>
      <c r="DI214" s="135"/>
      <c r="DJ214" s="135"/>
      <c r="DK214" s="135"/>
      <c r="DL214" s="135"/>
      <c r="DM214" s="135"/>
      <c r="DN214" s="135"/>
      <c r="DO214" s="135"/>
      <c r="DP214" s="135"/>
      <c r="DQ214" s="135"/>
      <c r="DR214" s="135"/>
      <c r="DS214" s="135"/>
      <c r="DT214" s="135"/>
      <c r="DU214" s="135"/>
      <c r="DV214" s="135"/>
      <c r="DW214" s="135"/>
      <c r="DX214" s="135"/>
      <c r="DY214" s="135"/>
      <c r="DZ214" s="135"/>
      <c r="EA214" s="135"/>
      <c r="EB214" s="135"/>
      <c r="EC214" s="135"/>
      <c r="ED214" s="135"/>
      <c r="EE214" s="135"/>
      <c r="EF214" s="135"/>
      <c r="EG214" s="135"/>
      <c r="EH214" s="135"/>
      <c r="EI214" s="135"/>
      <c r="EJ214" s="135"/>
      <c r="EK214" s="135"/>
      <c r="EL214" s="135"/>
      <c r="EM214" s="135"/>
      <c r="EN214" s="135"/>
      <c r="EO214" s="135"/>
      <c r="EP214" s="135"/>
      <c r="EQ214" s="135"/>
      <c r="ER214" s="135"/>
      <c r="ES214" s="135"/>
      <c r="ET214" s="135"/>
      <c r="EU214" s="135"/>
      <c r="EV214" s="135"/>
      <c r="EW214" s="135"/>
      <c r="EX214" s="135"/>
      <c r="EY214" s="135"/>
      <c r="EZ214" s="135"/>
      <c r="FA214" s="135"/>
      <c r="FB214" s="135"/>
    </row>
    <row r="215" spans="4:158" hidden="1" x14ac:dyDescent="0.25"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  <c r="W215" s="135"/>
      <c r="X215" s="135"/>
      <c r="Y215" s="135"/>
      <c r="Z215" s="135"/>
      <c r="AA215" s="135"/>
      <c r="AB215" s="135"/>
      <c r="AC215" s="135"/>
      <c r="AD215" s="135"/>
      <c r="AE215" s="135"/>
      <c r="AF215" s="135"/>
      <c r="AG215" s="135"/>
      <c r="AH215" s="135"/>
      <c r="AI215" s="135"/>
      <c r="AJ215" s="135"/>
      <c r="AK215" s="135"/>
      <c r="AL215" s="135"/>
      <c r="AM215" s="135"/>
      <c r="AN215" s="135"/>
      <c r="AO215" s="135"/>
      <c r="AP215" s="135"/>
      <c r="AQ215" s="135"/>
      <c r="AR215" s="135"/>
      <c r="AS215" s="135"/>
      <c r="AT215" s="135"/>
      <c r="AU215" s="135"/>
      <c r="AV215" s="135"/>
      <c r="AW215" s="135"/>
      <c r="AX215" s="135"/>
      <c r="AY215" s="135"/>
      <c r="AZ215" s="135"/>
      <c r="BA215" s="135"/>
      <c r="BB215" s="135"/>
      <c r="BC215" s="135"/>
      <c r="BD215" s="135"/>
      <c r="BE215" s="135"/>
      <c r="BF215" s="135"/>
      <c r="BG215" s="135"/>
      <c r="BH215" s="135"/>
      <c r="BI215" s="135"/>
      <c r="BJ215" s="135"/>
      <c r="BK215" s="135"/>
      <c r="BL215" s="135"/>
      <c r="BM215" s="135"/>
      <c r="BN215" s="135"/>
      <c r="BO215" s="135"/>
      <c r="BP215" s="135"/>
      <c r="BQ215" s="135"/>
      <c r="BR215" s="135"/>
      <c r="BS215" s="135"/>
      <c r="BT215" s="135"/>
      <c r="BU215" s="135"/>
      <c r="BV215" s="135"/>
      <c r="BW215" s="135"/>
      <c r="BX215" s="135"/>
      <c r="BY215" s="135"/>
      <c r="BZ215" s="135"/>
      <c r="CA215" s="135"/>
      <c r="CB215" s="135"/>
      <c r="CC215" s="135"/>
      <c r="CD215" s="135"/>
      <c r="CE215" s="135"/>
      <c r="CF215" s="135"/>
      <c r="CG215" s="135"/>
      <c r="CH215" s="135"/>
      <c r="CI215" s="135"/>
      <c r="CJ215" s="135"/>
      <c r="CK215" s="135"/>
      <c r="CL215" s="135"/>
      <c r="CM215" s="135"/>
      <c r="CN215" s="135"/>
      <c r="CO215" s="135"/>
      <c r="CP215" s="135"/>
      <c r="CQ215" s="135"/>
      <c r="CR215" s="135"/>
      <c r="CS215" s="135"/>
      <c r="CT215" s="135"/>
      <c r="CU215" s="135"/>
      <c r="CV215" s="135"/>
      <c r="CW215" s="135"/>
      <c r="CX215" s="135"/>
      <c r="CY215" s="135"/>
      <c r="CZ215" s="135"/>
      <c r="DA215" s="135"/>
      <c r="DB215" s="135"/>
      <c r="DC215" s="135"/>
      <c r="DD215" s="135"/>
      <c r="DE215" s="135"/>
      <c r="DF215" s="135"/>
      <c r="DG215" s="135"/>
      <c r="DH215" s="135"/>
      <c r="DI215" s="135"/>
      <c r="DJ215" s="135"/>
      <c r="DK215" s="135"/>
      <c r="DL215" s="135"/>
      <c r="DM215" s="135"/>
      <c r="DN215" s="135"/>
      <c r="DO215" s="135"/>
      <c r="DP215" s="135"/>
      <c r="DQ215" s="135"/>
      <c r="DR215" s="135"/>
      <c r="DS215" s="135"/>
      <c r="DT215" s="135"/>
      <c r="DU215" s="135"/>
      <c r="DV215" s="135"/>
      <c r="DW215" s="135"/>
      <c r="DX215" s="135"/>
      <c r="DY215" s="135"/>
      <c r="DZ215" s="135"/>
      <c r="EA215" s="135"/>
      <c r="EB215" s="135"/>
      <c r="EC215" s="135"/>
      <c r="ED215" s="135"/>
      <c r="EE215" s="135"/>
      <c r="EF215" s="135"/>
      <c r="EG215" s="135"/>
      <c r="EH215" s="135"/>
      <c r="EI215" s="135"/>
      <c r="EJ215" s="135"/>
      <c r="EK215" s="135"/>
      <c r="EL215" s="135"/>
      <c r="EM215" s="135"/>
      <c r="EN215" s="135"/>
      <c r="EO215" s="135"/>
      <c r="EP215" s="135"/>
      <c r="EQ215" s="135"/>
      <c r="ER215" s="135"/>
      <c r="ES215" s="135"/>
      <c r="ET215" s="135"/>
      <c r="EU215" s="135"/>
      <c r="EV215" s="135"/>
      <c r="EW215" s="135"/>
      <c r="EX215" s="135"/>
      <c r="EY215" s="135"/>
      <c r="EZ215" s="135"/>
      <c r="FA215" s="135"/>
      <c r="FB215" s="135"/>
    </row>
    <row r="216" spans="4:158" hidden="1" x14ac:dyDescent="0.25"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  <c r="W216" s="135"/>
      <c r="X216" s="135"/>
      <c r="Y216" s="135"/>
      <c r="Z216" s="135"/>
      <c r="AA216" s="135"/>
      <c r="AB216" s="135"/>
      <c r="AC216" s="135"/>
      <c r="AD216" s="135"/>
      <c r="AE216" s="135"/>
      <c r="AF216" s="135"/>
      <c r="AG216" s="135"/>
      <c r="AH216" s="135"/>
      <c r="AI216" s="135"/>
      <c r="AJ216" s="135"/>
      <c r="AK216" s="135"/>
      <c r="AL216" s="135"/>
      <c r="AM216" s="135"/>
      <c r="AN216" s="135"/>
      <c r="AO216" s="135"/>
      <c r="AP216" s="135"/>
      <c r="AQ216" s="135"/>
      <c r="AR216" s="135"/>
      <c r="AS216" s="135"/>
      <c r="AT216" s="135"/>
      <c r="AU216" s="135"/>
      <c r="AV216" s="135"/>
      <c r="AW216" s="135"/>
      <c r="AX216" s="135"/>
      <c r="AY216" s="135"/>
      <c r="AZ216" s="135"/>
      <c r="BA216" s="135"/>
      <c r="BB216" s="135"/>
      <c r="BC216" s="135"/>
      <c r="BD216" s="135"/>
      <c r="BE216" s="135"/>
      <c r="BF216" s="135"/>
      <c r="BG216" s="135"/>
      <c r="BH216" s="135"/>
      <c r="BI216" s="135"/>
      <c r="BJ216" s="135"/>
      <c r="BK216" s="135"/>
      <c r="BL216" s="135"/>
      <c r="BM216" s="135"/>
      <c r="BN216" s="135"/>
      <c r="BO216" s="135"/>
      <c r="BP216" s="135"/>
      <c r="BQ216" s="135"/>
      <c r="BR216" s="135"/>
      <c r="BS216" s="135"/>
      <c r="BT216" s="135"/>
      <c r="BU216" s="135"/>
      <c r="BV216" s="135"/>
      <c r="BW216" s="135"/>
      <c r="BX216" s="135"/>
      <c r="BY216" s="135"/>
      <c r="BZ216" s="135"/>
      <c r="CA216" s="135"/>
      <c r="CB216" s="135"/>
      <c r="CC216" s="135"/>
      <c r="CD216" s="135"/>
      <c r="CE216" s="135"/>
      <c r="CF216" s="135"/>
      <c r="CG216" s="135"/>
      <c r="CH216" s="135"/>
      <c r="CI216" s="135"/>
      <c r="CJ216" s="135"/>
      <c r="CK216" s="135"/>
      <c r="CL216" s="135"/>
      <c r="CM216" s="135"/>
      <c r="CN216" s="135"/>
      <c r="CO216" s="135"/>
      <c r="CP216" s="135"/>
      <c r="CQ216" s="135"/>
      <c r="CR216" s="135"/>
      <c r="CS216" s="135"/>
      <c r="CT216" s="135"/>
      <c r="CU216" s="135"/>
      <c r="CV216" s="135"/>
      <c r="CW216" s="135"/>
      <c r="CX216" s="135"/>
      <c r="CY216" s="135"/>
      <c r="CZ216" s="135"/>
      <c r="DA216" s="135"/>
      <c r="DB216" s="135"/>
      <c r="DC216" s="135"/>
      <c r="DD216" s="135"/>
      <c r="DE216" s="135"/>
      <c r="DF216" s="135"/>
      <c r="DG216" s="135"/>
      <c r="DH216" s="135"/>
      <c r="DI216" s="135"/>
      <c r="DJ216" s="135"/>
      <c r="DK216" s="135"/>
      <c r="DL216" s="135"/>
      <c r="DM216" s="135"/>
      <c r="DN216" s="135"/>
      <c r="DO216" s="135"/>
      <c r="DP216" s="135"/>
      <c r="DQ216" s="135"/>
      <c r="DR216" s="135"/>
      <c r="DS216" s="135"/>
      <c r="DT216" s="135"/>
      <c r="DU216" s="135"/>
      <c r="DV216" s="135"/>
      <c r="DW216" s="135"/>
      <c r="DX216" s="135"/>
      <c r="DY216" s="135"/>
      <c r="DZ216" s="135"/>
      <c r="EA216" s="135"/>
      <c r="EB216" s="135"/>
      <c r="EC216" s="135"/>
      <c r="ED216" s="135"/>
      <c r="EE216" s="135"/>
      <c r="EF216" s="135"/>
      <c r="EG216" s="135"/>
      <c r="EH216" s="135"/>
      <c r="EI216" s="135"/>
      <c r="EJ216" s="135"/>
      <c r="EK216" s="135"/>
      <c r="EL216" s="135"/>
      <c r="EM216" s="135"/>
      <c r="EN216" s="135"/>
      <c r="EO216" s="135"/>
      <c r="EP216" s="135"/>
      <c r="EQ216" s="135"/>
      <c r="ER216" s="135"/>
      <c r="ES216" s="135"/>
      <c r="ET216" s="135"/>
      <c r="EU216" s="135"/>
      <c r="EV216" s="135"/>
      <c r="EW216" s="135"/>
      <c r="EX216" s="135"/>
      <c r="EY216" s="135"/>
      <c r="EZ216" s="135"/>
      <c r="FA216" s="135"/>
      <c r="FB216" s="135"/>
    </row>
    <row r="217" spans="4:158" hidden="1" x14ac:dyDescent="0.25"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  <c r="W217" s="135"/>
      <c r="X217" s="135"/>
      <c r="Y217" s="135"/>
      <c r="Z217" s="135"/>
      <c r="AA217" s="135"/>
      <c r="AB217" s="135"/>
      <c r="AC217" s="135"/>
      <c r="AD217" s="135"/>
      <c r="AE217" s="135"/>
      <c r="AF217" s="135"/>
      <c r="AG217" s="135"/>
      <c r="AH217" s="135"/>
      <c r="AI217" s="135"/>
      <c r="AJ217" s="135"/>
      <c r="AK217" s="135"/>
      <c r="AL217" s="135"/>
      <c r="AM217" s="135"/>
      <c r="AN217" s="135"/>
      <c r="AO217" s="135"/>
      <c r="AP217" s="135"/>
      <c r="AQ217" s="135"/>
      <c r="AR217" s="135"/>
      <c r="AS217" s="135"/>
      <c r="AT217" s="135"/>
      <c r="AU217" s="135"/>
      <c r="AV217" s="135"/>
      <c r="AW217" s="135"/>
      <c r="AX217" s="135"/>
      <c r="AY217" s="135"/>
      <c r="AZ217" s="135"/>
      <c r="BA217" s="135"/>
      <c r="BB217" s="135"/>
      <c r="BC217" s="135"/>
      <c r="BD217" s="135"/>
      <c r="BE217" s="135"/>
      <c r="BF217" s="135"/>
      <c r="BG217" s="135"/>
      <c r="BH217" s="135"/>
      <c r="BI217" s="135"/>
      <c r="BJ217" s="135"/>
      <c r="BK217" s="135"/>
      <c r="BL217" s="135"/>
      <c r="BM217" s="135"/>
      <c r="BN217" s="135"/>
      <c r="BO217" s="135"/>
      <c r="BP217" s="135"/>
      <c r="BQ217" s="135"/>
      <c r="BR217" s="135"/>
      <c r="BS217" s="135"/>
      <c r="BT217" s="135"/>
      <c r="BU217" s="135"/>
      <c r="BV217" s="135"/>
      <c r="BW217" s="135"/>
      <c r="BX217" s="135"/>
      <c r="BY217" s="135"/>
      <c r="BZ217" s="135"/>
      <c r="CA217" s="135"/>
      <c r="CB217" s="135"/>
      <c r="CC217" s="135"/>
      <c r="CD217" s="135"/>
      <c r="CE217" s="135"/>
      <c r="CF217" s="135"/>
      <c r="CG217" s="135"/>
      <c r="CH217" s="135"/>
      <c r="CI217" s="135"/>
      <c r="CJ217" s="135"/>
      <c r="CK217" s="135"/>
      <c r="CL217" s="135"/>
      <c r="CM217" s="135"/>
      <c r="CN217" s="135"/>
      <c r="CO217" s="135"/>
      <c r="CP217" s="135"/>
      <c r="CQ217" s="135"/>
      <c r="CR217" s="135"/>
      <c r="CS217" s="135"/>
      <c r="CT217" s="135"/>
      <c r="CU217" s="135"/>
      <c r="CV217" s="135"/>
      <c r="CW217" s="135"/>
      <c r="CX217" s="135"/>
      <c r="CY217" s="135"/>
      <c r="CZ217" s="135"/>
      <c r="DA217" s="135"/>
      <c r="DB217" s="135"/>
      <c r="DC217" s="135"/>
      <c r="DD217" s="135"/>
      <c r="DE217" s="135"/>
      <c r="DF217" s="135"/>
      <c r="DG217" s="135"/>
      <c r="DH217" s="135"/>
      <c r="DI217" s="135"/>
      <c r="DJ217" s="135"/>
      <c r="DK217" s="135"/>
      <c r="DL217" s="135"/>
      <c r="DM217" s="135"/>
      <c r="DN217" s="135"/>
      <c r="DO217" s="135"/>
      <c r="DP217" s="135"/>
      <c r="DQ217" s="135"/>
      <c r="DR217" s="135"/>
      <c r="DS217" s="135"/>
      <c r="DT217" s="135"/>
      <c r="DU217" s="135"/>
      <c r="DV217" s="135"/>
      <c r="DW217" s="135"/>
      <c r="DX217" s="135"/>
      <c r="DY217" s="135"/>
      <c r="DZ217" s="135"/>
      <c r="EA217" s="135"/>
      <c r="EB217" s="135"/>
      <c r="EC217" s="135"/>
      <c r="ED217" s="135"/>
      <c r="EE217" s="135"/>
      <c r="EF217" s="135"/>
      <c r="EG217" s="135"/>
      <c r="EH217" s="135"/>
      <c r="EI217" s="135"/>
      <c r="EJ217" s="135"/>
      <c r="EK217" s="135"/>
      <c r="EL217" s="135"/>
      <c r="EM217" s="135"/>
      <c r="EN217" s="135"/>
      <c r="EO217" s="135"/>
      <c r="EP217" s="135"/>
      <c r="EQ217" s="135"/>
      <c r="ER217" s="135"/>
      <c r="ES217" s="135"/>
      <c r="ET217" s="135"/>
      <c r="EU217" s="135"/>
      <c r="EV217" s="135"/>
      <c r="EW217" s="135"/>
      <c r="EX217" s="135"/>
      <c r="EY217" s="135"/>
      <c r="EZ217" s="135"/>
      <c r="FA217" s="135"/>
      <c r="FB217" s="135"/>
    </row>
    <row r="218" spans="4:158" hidden="1" x14ac:dyDescent="0.25"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  <c r="Y218" s="135"/>
      <c r="Z218" s="135"/>
      <c r="AA218" s="135"/>
      <c r="AB218" s="135"/>
      <c r="AC218" s="135"/>
      <c r="AD218" s="135"/>
      <c r="AE218" s="135"/>
      <c r="AF218" s="135"/>
      <c r="AG218" s="135"/>
      <c r="AH218" s="135"/>
      <c r="AI218" s="135"/>
      <c r="AJ218" s="135"/>
      <c r="AK218" s="135"/>
      <c r="AL218" s="135"/>
      <c r="AM218" s="135"/>
      <c r="AN218" s="135"/>
      <c r="AO218" s="135"/>
      <c r="AP218" s="135"/>
      <c r="AQ218" s="135"/>
      <c r="AR218" s="135"/>
      <c r="AS218" s="135"/>
      <c r="AT218" s="135"/>
      <c r="AU218" s="135"/>
      <c r="AV218" s="135"/>
      <c r="AW218" s="135"/>
      <c r="AX218" s="135"/>
      <c r="AY218" s="135"/>
      <c r="AZ218" s="135"/>
      <c r="BA218" s="135"/>
      <c r="BB218" s="135"/>
      <c r="BC218" s="135"/>
      <c r="BD218" s="135"/>
      <c r="BE218" s="135"/>
      <c r="BF218" s="135"/>
      <c r="BG218" s="135"/>
      <c r="BH218" s="135"/>
      <c r="BI218" s="135"/>
      <c r="BJ218" s="135"/>
      <c r="BK218" s="135"/>
      <c r="BL218" s="135"/>
      <c r="BM218" s="135"/>
      <c r="BN218" s="135"/>
      <c r="BO218" s="135"/>
      <c r="BP218" s="135"/>
      <c r="BQ218" s="135"/>
      <c r="BR218" s="135"/>
      <c r="BS218" s="135"/>
      <c r="BT218" s="135"/>
      <c r="BU218" s="135"/>
      <c r="BV218" s="135"/>
      <c r="BW218" s="135"/>
      <c r="BX218" s="135"/>
      <c r="BY218" s="135"/>
      <c r="BZ218" s="135"/>
      <c r="CA218" s="135"/>
      <c r="CB218" s="135"/>
      <c r="CC218" s="135"/>
      <c r="CD218" s="135"/>
      <c r="CE218" s="135"/>
      <c r="CF218" s="135"/>
      <c r="CG218" s="135"/>
      <c r="CH218" s="135"/>
      <c r="CI218" s="135"/>
      <c r="CJ218" s="135"/>
      <c r="CK218" s="135"/>
      <c r="CL218" s="135"/>
      <c r="CM218" s="135"/>
      <c r="CN218" s="135"/>
      <c r="CO218" s="135"/>
      <c r="CP218" s="135"/>
      <c r="CQ218" s="135"/>
      <c r="CR218" s="135"/>
      <c r="CS218" s="135"/>
      <c r="CT218" s="135"/>
      <c r="CU218" s="135"/>
      <c r="CV218" s="135"/>
      <c r="CW218" s="135"/>
      <c r="CX218" s="135"/>
      <c r="CY218" s="135"/>
      <c r="CZ218" s="135"/>
      <c r="DA218" s="135"/>
      <c r="DB218" s="135"/>
      <c r="DC218" s="135"/>
      <c r="DD218" s="135"/>
      <c r="DE218" s="135"/>
      <c r="DF218" s="135"/>
      <c r="DG218" s="135"/>
      <c r="DH218" s="135"/>
      <c r="DI218" s="135"/>
      <c r="DJ218" s="135"/>
      <c r="DK218" s="135"/>
      <c r="DL218" s="135"/>
      <c r="DM218" s="135"/>
      <c r="DN218" s="135"/>
      <c r="DO218" s="135"/>
      <c r="DP218" s="135"/>
      <c r="DQ218" s="135"/>
      <c r="DR218" s="135"/>
      <c r="DS218" s="135"/>
      <c r="DT218" s="135"/>
      <c r="DU218" s="135"/>
      <c r="DV218" s="135"/>
      <c r="DW218" s="135"/>
      <c r="DX218" s="135"/>
      <c r="DY218" s="135"/>
      <c r="DZ218" s="135"/>
      <c r="EA218" s="135"/>
      <c r="EB218" s="135"/>
      <c r="EC218" s="135"/>
      <c r="ED218" s="135"/>
      <c r="EE218" s="135"/>
      <c r="EF218" s="135"/>
      <c r="EG218" s="135"/>
      <c r="EH218" s="135"/>
      <c r="EI218" s="135"/>
      <c r="EJ218" s="135"/>
      <c r="EK218" s="135"/>
      <c r="EL218" s="135"/>
      <c r="EM218" s="135"/>
      <c r="EN218" s="135"/>
      <c r="EO218" s="135"/>
      <c r="EP218" s="135"/>
      <c r="EQ218" s="135"/>
      <c r="ER218" s="135"/>
      <c r="ES218" s="135"/>
      <c r="ET218" s="135"/>
      <c r="EU218" s="135"/>
      <c r="EV218" s="135"/>
      <c r="EW218" s="135"/>
      <c r="EX218" s="135"/>
      <c r="EY218" s="135"/>
      <c r="EZ218" s="135"/>
      <c r="FA218" s="135"/>
      <c r="FB218" s="135"/>
    </row>
    <row r="219" spans="4:158" hidden="1" x14ac:dyDescent="0.25"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  <c r="Y219" s="135"/>
      <c r="Z219" s="135"/>
      <c r="AA219" s="135"/>
      <c r="AB219" s="135"/>
      <c r="AC219" s="135"/>
      <c r="AD219" s="135"/>
      <c r="AE219" s="135"/>
      <c r="AF219" s="135"/>
      <c r="AG219" s="135"/>
      <c r="AH219" s="135"/>
      <c r="AI219" s="135"/>
      <c r="AJ219" s="135"/>
      <c r="AK219" s="135"/>
      <c r="AL219" s="135"/>
      <c r="AM219" s="135"/>
      <c r="AN219" s="135"/>
      <c r="AO219" s="135"/>
      <c r="AP219" s="135"/>
      <c r="AQ219" s="135"/>
      <c r="AR219" s="135"/>
      <c r="AS219" s="135"/>
      <c r="AT219" s="135"/>
      <c r="AU219" s="135"/>
      <c r="AV219" s="135"/>
      <c r="AW219" s="135"/>
      <c r="AX219" s="135"/>
      <c r="AY219" s="135"/>
      <c r="AZ219" s="135"/>
      <c r="BA219" s="135"/>
      <c r="BB219" s="135"/>
      <c r="BC219" s="135"/>
      <c r="BD219" s="135"/>
      <c r="BE219" s="135"/>
      <c r="BF219" s="135"/>
      <c r="BG219" s="135"/>
      <c r="BH219" s="135"/>
      <c r="BI219" s="135"/>
      <c r="BJ219" s="135"/>
      <c r="BK219" s="135"/>
      <c r="BL219" s="135"/>
      <c r="BM219" s="135"/>
      <c r="BN219" s="135"/>
      <c r="BO219" s="135"/>
      <c r="BP219" s="135"/>
      <c r="BQ219" s="135"/>
      <c r="BR219" s="135"/>
      <c r="BS219" s="135"/>
      <c r="BT219" s="135"/>
      <c r="BU219" s="135"/>
      <c r="BV219" s="135"/>
      <c r="BW219" s="135"/>
      <c r="BX219" s="135"/>
      <c r="BY219" s="135"/>
      <c r="BZ219" s="135"/>
      <c r="CA219" s="135"/>
      <c r="CB219" s="135"/>
      <c r="CC219" s="135"/>
      <c r="CD219" s="135"/>
      <c r="CE219" s="135"/>
      <c r="CF219" s="135"/>
      <c r="CG219" s="135"/>
      <c r="CH219" s="135"/>
      <c r="CI219" s="135"/>
      <c r="CJ219" s="135"/>
      <c r="CK219" s="135"/>
      <c r="CL219" s="135"/>
      <c r="CM219" s="135"/>
      <c r="CN219" s="135"/>
      <c r="CO219" s="135"/>
      <c r="CP219" s="135"/>
      <c r="CQ219" s="135"/>
      <c r="CR219" s="135"/>
      <c r="CS219" s="135"/>
      <c r="CT219" s="135"/>
      <c r="CU219" s="135"/>
      <c r="CV219" s="135"/>
      <c r="CW219" s="135"/>
      <c r="CX219" s="135"/>
      <c r="CY219" s="135"/>
      <c r="CZ219" s="135"/>
      <c r="DA219" s="135"/>
      <c r="DB219" s="135"/>
      <c r="DC219" s="135"/>
      <c r="DD219" s="135"/>
      <c r="DE219" s="135"/>
      <c r="DF219" s="135"/>
      <c r="DG219" s="135"/>
      <c r="DH219" s="135"/>
      <c r="DI219" s="135"/>
      <c r="DJ219" s="135"/>
      <c r="DK219" s="135"/>
      <c r="DL219" s="135"/>
      <c r="DM219" s="135"/>
      <c r="DN219" s="135"/>
      <c r="DO219" s="135"/>
      <c r="DP219" s="135"/>
      <c r="DQ219" s="135"/>
      <c r="DR219" s="135"/>
      <c r="DS219" s="135"/>
      <c r="DT219" s="135"/>
      <c r="DU219" s="135"/>
      <c r="DV219" s="135"/>
      <c r="DW219" s="135"/>
      <c r="DX219" s="135"/>
      <c r="DY219" s="135"/>
      <c r="DZ219" s="135"/>
      <c r="EA219" s="135"/>
      <c r="EB219" s="135"/>
      <c r="EC219" s="135"/>
      <c r="ED219" s="135"/>
      <c r="EE219" s="135"/>
      <c r="EF219" s="135"/>
      <c r="EG219" s="135"/>
      <c r="EH219" s="135"/>
      <c r="EI219" s="135"/>
      <c r="EJ219" s="135"/>
      <c r="EK219" s="135"/>
      <c r="EL219" s="135"/>
      <c r="EM219" s="135"/>
      <c r="EN219" s="135"/>
      <c r="EO219" s="135"/>
      <c r="EP219" s="135"/>
      <c r="EQ219" s="135"/>
      <c r="ER219" s="135"/>
      <c r="ES219" s="135"/>
      <c r="ET219" s="135"/>
      <c r="EU219" s="135"/>
      <c r="EV219" s="135"/>
      <c r="EW219" s="135"/>
      <c r="EX219" s="135"/>
      <c r="EY219" s="135"/>
      <c r="EZ219" s="135"/>
      <c r="FA219" s="135"/>
      <c r="FB219" s="135"/>
    </row>
    <row r="220" spans="4:158" hidden="1" x14ac:dyDescent="0.25"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  <c r="AC220" s="135"/>
      <c r="AD220" s="135"/>
      <c r="AE220" s="135"/>
      <c r="AF220" s="135"/>
      <c r="AG220" s="135"/>
      <c r="AH220" s="135"/>
      <c r="AI220" s="135"/>
      <c r="AJ220" s="135"/>
      <c r="AK220" s="135"/>
      <c r="AL220" s="135"/>
      <c r="AM220" s="135"/>
      <c r="AN220" s="135"/>
      <c r="AO220" s="135"/>
      <c r="AP220" s="135"/>
      <c r="AQ220" s="135"/>
      <c r="AR220" s="135"/>
      <c r="AS220" s="135"/>
      <c r="AT220" s="135"/>
      <c r="AU220" s="135"/>
      <c r="AV220" s="135"/>
      <c r="AW220" s="135"/>
      <c r="AX220" s="135"/>
      <c r="AY220" s="135"/>
      <c r="AZ220" s="135"/>
      <c r="BA220" s="135"/>
      <c r="BB220" s="135"/>
      <c r="BC220" s="135"/>
      <c r="BD220" s="135"/>
      <c r="BE220" s="135"/>
      <c r="BF220" s="135"/>
      <c r="BG220" s="135"/>
      <c r="BH220" s="135"/>
      <c r="BI220" s="135"/>
      <c r="BJ220" s="135"/>
      <c r="BK220" s="135"/>
      <c r="BL220" s="135"/>
      <c r="BM220" s="135"/>
      <c r="BN220" s="135"/>
      <c r="BO220" s="135"/>
      <c r="BP220" s="135"/>
      <c r="BQ220" s="135"/>
      <c r="BR220" s="135"/>
      <c r="BS220" s="135"/>
      <c r="BT220" s="135"/>
      <c r="BU220" s="135"/>
      <c r="BV220" s="135"/>
      <c r="BW220" s="135"/>
      <c r="BX220" s="135"/>
      <c r="BY220" s="135"/>
      <c r="BZ220" s="135"/>
      <c r="CA220" s="135"/>
      <c r="CB220" s="135"/>
      <c r="CC220" s="135"/>
      <c r="CD220" s="135"/>
      <c r="CE220" s="135"/>
      <c r="CF220" s="135"/>
      <c r="CG220" s="135"/>
      <c r="CH220" s="135"/>
      <c r="CI220" s="135"/>
      <c r="CJ220" s="135"/>
      <c r="CK220" s="135"/>
      <c r="CL220" s="135"/>
      <c r="CM220" s="135"/>
      <c r="CN220" s="135"/>
      <c r="CO220" s="135"/>
      <c r="CP220" s="135"/>
      <c r="CQ220" s="135"/>
      <c r="CR220" s="135"/>
      <c r="CS220" s="135"/>
      <c r="CT220" s="135"/>
      <c r="CU220" s="135"/>
      <c r="CV220" s="135"/>
      <c r="CW220" s="135"/>
      <c r="CX220" s="135"/>
      <c r="CY220" s="135"/>
      <c r="CZ220" s="135"/>
      <c r="DA220" s="135"/>
      <c r="DB220" s="135"/>
      <c r="DC220" s="135"/>
      <c r="DD220" s="135"/>
      <c r="DE220" s="135"/>
      <c r="DF220" s="135"/>
      <c r="DG220" s="135"/>
      <c r="DH220" s="135"/>
      <c r="DI220" s="135"/>
      <c r="DJ220" s="135"/>
      <c r="DK220" s="135"/>
      <c r="DL220" s="135"/>
      <c r="DM220" s="135"/>
      <c r="DN220" s="135"/>
      <c r="DO220" s="135"/>
      <c r="DP220" s="135"/>
      <c r="DQ220" s="135"/>
      <c r="DR220" s="135"/>
      <c r="DS220" s="135"/>
      <c r="DT220" s="135"/>
      <c r="DU220" s="135"/>
      <c r="DV220" s="135"/>
      <c r="DW220" s="135"/>
      <c r="DX220" s="135"/>
      <c r="DY220" s="135"/>
      <c r="DZ220" s="135"/>
      <c r="EA220" s="135"/>
      <c r="EB220" s="135"/>
      <c r="EC220" s="135"/>
      <c r="ED220" s="135"/>
      <c r="EE220" s="135"/>
      <c r="EF220" s="135"/>
      <c r="EG220" s="135"/>
      <c r="EH220" s="135"/>
      <c r="EI220" s="135"/>
      <c r="EJ220" s="135"/>
      <c r="EK220" s="135"/>
      <c r="EL220" s="135"/>
      <c r="EM220" s="135"/>
      <c r="EN220" s="135"/>
      <c r="EO220" s="135"/>
      <c r="EP220" s="135"/>
      <c r="EQ220" s="135"/>
      <c r="ER220" s="135"/>
      <c r="ES220" s="135"/>
      <c r="ET220" s="135"/>
      <c r="EU220" s="135"/>
      <c r="EV220" s="135"/>
      <c r="EW220" s="135"/>
      <c r="EX220" s="135"/>
      <c r="EY220" s="135"/>
      <c r="EZ220" s="135"/>
      <c r="FA220" s="135"/>
      <c r="FB220" s="135"/>
    </row>
    <row r="221" spans="4:158" hidden="1" x14ac:dyDescent="0.25"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  <c r="AB221" s="135"/>
      <c r="AC221" s="135"/>
      <c r="AD221" s="135"/>
      <c r="AE221" s="135"/>
      <c r="AF221" s="135"/>
      <c r="AG221" s="135"/>
      <c r="AH221" s="135"/>
      <c r="AI221" s="135"/>
      <c r="AJ221" s="135"/>
      <c r="AK221" s="135"/>
      <c r="AL221" s="135"/>
      <c r="AM221" s="135"/>
      <c r="AN221" s="135"/>
      <c r="AO221" s="135"/>
      <c r="AP221" s="135"/>
      <c r="AQ221" s="135"/>
      <c r="AR221" s="135"/>
      <c r="AS221" s="135"/>
      <c r="AT221" s="135"/>
      <c r="AU221" s="135"/>
      <c r="AV221" s="135"/>
      <c r="AW221" s="135"/>
      <c r="AX221" s="135"/>
      <c r="AY221" s="135"/>
      <c r="AZ221" s="135"/>
      <c r="BA221" s="135"/>
      <c r="BB221" s="135"/>
      <c r="BC221" s="135"/>
      <c r="BD221" s="135"/>
      <c r="BE221" s="135"/>
      <c r="BF221" s="135"/>
      <c r="BG221" s="135"/>
      <c r="BH221" s="135"/>
      <c r="BI221" s="135"/>
      <c r="BJ221" s="135"/>
      <c r="BK221" s="135"/>
      <c r="BL221" s="135"/>
      <c r="BM221" s="135"/>
      <c r="BN221" s="135"/>
      <c r="BO221" s="135"/>
      <c r="BP221" s="135"/>
      <c r="BQ221" s="135"/>
      <c r="BR221" s="135"/>
      <c r="BS221" s="135"/>
      <c r="BT221" s="135"/>
      <c r="BU221" s="135"/>
      <c r="BV221" s="135"/>
      <c r="BW221" s="135"/>
      <c r="BX221" s="135"/>
      <c r="BY221" s="135"/>
      <c r="BZ221" s="135"/>
      <c r="CA221" s="135"/>
      <c r="CB221" s="135"/>
      <c r="CC221" s="135"/>
      <c r="CD221" s="135"/>
      <c r="CE221" s="135"/>
      <c r="CF221" s="135"/>
      <c r="CG221" s="135"/>
      <c r="CH221" s="135"/>
      <c r="CI221" s="135"/>
      <c r="CJ221" s="135"/>
      <c r="CK221" s="135"/>
      <c r="CL221" s="135"/>
      <c r="CM221" s="135"/>
      <c r="CN221" s="135"/>
      <c r="CO221" s="135"/>
      <c r="CP221" s="135"/>
      <c r="CQ221" s="135"/>
      <c r="CR221" s="135"/>
      <c r="CS221" s="135"/>
      <c r="CT221" s="135"/>
      <c r="CU221" s="135"/>
      <c r="CV221" s="135"/>
      <c r="CW221" s="135"/>
      <c r="CX221" s="135"/>
      <c r="CY221" s="135"/>
      <c r="CZ221" s="135"/>
      <c r="DA221" s="135"/>
      <c r="DB221" s="135"/>
      <c r="DC221" s="135"/>
      <c r="DD221" s="135"/>
      <c r="DE221" s="135"/>
      <c r="DF221" s="135"/>
      <c r="DG221" s="135"/>
      <c r="DH221" s="135"/>
      <c r="DI221" s="135"/>
      <c r="DJ221" s="135"/>
      <c r="DK221" s="135"/>
      <c r="DL221" s="135"/>
      <c r="DM221" s="135"/>
      <c r="DN221" s="135"/>
      <c r="DO221" s="135"/>
      <c r="DP221" s="135"/>
      <c r="DQ221" s="135"/>
      <c r="DR221" s="135"/>
      <c r="DS221" s="135"/>
      <c r="DT221" s="135"/>
      <c r="DU221" s="135"/>
      <c r="DV221" s="135"/>
      <c r="DW221" s="135"/>
      <c r="DX221" s="135"/>
      <c r="DY221" s="135"/>
      <c r="DZ221" s="135"/>
      <c r="EA221" s="135"/>
      <c r="EB221" s="135"/>
      <c r="EC221" s="135"/>
      <c r="ED221" s="135"/>
      <c r="EE221" s="135"/>
      <c r="EF221" s="135"/>
      <c r="EG221" s="135"/>
      <c r="EH221" s="135"/>
      <c r="EI221" s="135"/>
      <c r="EJ221" s="135"/>
      <c r="EK221" s="135"/>
      <c r="EL221" s="135"/>
      <c r="EM221" s="135"/>
      <c r="EN221" s="135"/>
      <c r="EO221" s="135"/>
      <c r="EP221" s="135"/>
      <c r="EQ221" s="135"/>
      <c r="ER221" s="135"/>
      <c r="ES221" s="135"/>
      <c r="ET221" s="135"/>
      <c r="EU221" s="135"/>
      <c r="EV221" s="135"/>
      <c r="EW221" s="135"/>
      <c r="EX221" s="135"/>
      <c r="EY221" s="135"/>
      <c r="EZ221" s="135"/>
      <c r="FA221" s="135"/>
      <c r="FB221" s="135"/>
    </row>
    <row r="222" spans="4:158" hidden="1" x14ac:dyDescent="0.25"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  <c r="AB222" s="135"/>
      <c r="AC222" s="135"/>
      <c r="AD222" s="135"/>
      <c r="AE222" s="135"/>
      <c r="AF222" s="135"/>
      <c r="AG222" s="135"/>
      <c r="AH222" s="135"/>
      <c r="AI222" s="135"/>
      <c r="AJ222" s="135"/>
      <c r="AK222" s="135"/>
      <c r="AL222" s="135"/>
      <c r="AM222" s="135"/>
      <c r="AN222" s="135"/>
      <c r="AO222" s="135"/>
      <c r="AP222" s="135"/>
      <c r="AQ222" s="135"/>
      <c r="AR222" s="135"/>
      <c r="AS222" s="135"/>
      <c r="AT222" s="135"/>
      <c r="AU222" s="135"/>
      <c r="AV222" s="135"/>
      <c r="AW222" s="135"/>
      <c r="AX222" s="135"/>
      <c r="AY222" s="135"/>
      <c r="AZ222" s="135"/>
      <c r="BA222" s="135"/>
      <c r="BB222" s="135"/>
      <c r="BC222" s="135"/>
      <c r="BD222" s="135"/>
      <c r="BE222" s="135"/>
      <c r="BF222" s="135"/>
      <c r="BG222" s="135"/>
      <c r="BH222" s="135"/>
      <c r="BI222" s="135"/>
      <c r="BJ222" s="135"/>
      <c r="BK222" s="135"/>
      <c r="BL222" s="135"/>
      <c r="BM222" s="135"/>
      <c r="BN222" s="135"/>
      <c r="BO222" s="135"/>
      <c r="BP222" s="135"/>
      <c r="BQ222" s="135"/>
      <c r="BR222" s="135"/>
      <c r="BS222" s="135"/>
      <c r="BT222" s="135"/>
      <c r="BU222" s="135"/>
      <c r="BV222" s="135"/>
      <c r="BW222" s="135"/>
      <c r="BX222" s="135"/>
      <c r="BY222" s="135"/>
      <c r="BZ222" s="135"/>
      <c r="CA222" s="135"/>
      <c r="CB222" s="135"/>
      <c r="CC222" s="135"/>
      <c r="CD222" s="135"/>
      <c r="CE222" s="135"/>
      <c r="CF222" s="135"/>
      <c r="CG222" s="135"/>
      <c r="CH222" s="135"/>
      <c r="CI222" s="135"/>
      <c r="CJ222" s="135"/>
      <c r="CK222" s="135"/>
      <c r="CL222" s="135"/>
      <c r="CM222" s="135"/>
      <c r="CN222" s="135"/>
      <c r="CO222" s="135"/>
      <c r="CP222" s="135"/>
      <c r="CQ222" s="135"/>
      <c r="CR222" s="135"/>
      <c r="CS222" s="135"/>
      <c r="CT222" s="135"/>
      <c r="CU222" s="135"/>
      <c r="CV222" s="135"/>
      <c r="CW222" s="135"/>
      <c r="CX222" s="135"/>
      <c r="CY222" s="135"/>
      <c r="CZ222" s="135"/>
      <c r="DA222" s="135"/>
      <c r="DB222" s="135"/>
      <c r="DC222" s="135"/>
      <c r="DD222" s="135"/>
      <c r="DE222" s="135"/>
      <c r="DF222" s="135"/>
      <c r="DG222" s="135"/>
      <c r="DH222" s="135"/>
      <c r="DI222" s="135"/>
      <c r="DJ222" s="135"/>
      <c r="DK222" s="135"/>
      <c r="DL222" s="135"/>
      <c r="DM222" s="135"/>
      <c r="DN222" s="135"/>
      <c r="DO222" s="135"/>
      <c r="DP222" s="135"/>
      <c r="DQ222" s="135"/>
      <c r="DR222" s="135"/>
      <c r="DS222" s="135"/>
      <c r="DT222" s="135"/>
      <c r="DU222" s="135"/>
      <c r="DV222" s="135"/>
      <c r="DW222" s="135"/>
      <c r="DX222" s="135"/>
      <c r="DY222" s="135"/>
      <c r="DZ222" s="135"/>
      <c r="EA222" s="135"/>
      <c r="EB222" s="135"/>
      <c r="EC222" s="135"/>
      <c r="ED222" s="135"/>
      <c r="EE222" s="135"/>
      <c r="EF222" s="135"/>
      <c r="EG222" s="135"/>
      <c r="EH222" s="135"/>
      <c r="EI222" s="135"/>
      <c r="EJ222" s="135"/>
      <c r="EK222" s="135"/>
      <c r="EL222" s="135"/>
      <c r="EM222" s="135"/>
      <c r="EN222" s="135"/>
      <c r="EO222" s="135"/>
      <c r="EP222" s="135"/>
      <c r="EQ222" s="135"/>
      <c r="ER222" s="135"/>
      <c r="ES222" s="135"/>
      <c r="ET222" s="135"/>
      <c r="EU222" s="135"/>
      <c r="EV222" s="135"/>
      <c r="EW222" s="135"/>
      <c r="EX222" s="135"/>
      <c r="EY222" s="135"/>
      <c r="EZ222" s="135"/>
      <c r="FA222" s="135"/>
      <c r="FB222" s="135"/>
    </row>
    <row r="223" spans="4:158" hidden="1" x14ac:dyDescent="0.25"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  <c r="AA223" s="135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135"/>
      <c r="AO223" s="135"/>
      <c r="AP223" s="135"/>
      <c r="AQ223" s="135"/>
      <c r="AR223" s="135"/>
      <c r="AS223" s="135"/>
      <c r="AT223" s="135"/>
      <c r="AU223" s="135"/>
      <c r="AV223" s="135"/>
      <c r="AW223" s="135"/>
      <c r="AX223" s="135"/>
      <c r="AY223" s="135"/>
      <c r="AZ223" s="135"/>
      <c r="BA223" s="135"/>
      <c r="BB223" s="135"/>
      <c r="BC223" s="135"/>
      <c r="BD223" s="135"/>
      <c r="BE223" s="135"/>
      <c r="BF223" s="135"/>
      <c r="BG223" s="135"/>
      <c r="BH223" s="135"/>
      <c r="BI223" s="135"/>
      <c r="BJ223" s="135"/>
      <c r="BK223" s="135"/>
      <c r="BL223" s="135"/>
      <c r="BM223" s="135"/>
      <c r="BN223" s="135"/>
      <c r="BO223" s="135"/>
      <c r="BP223" s="135"/>
      <c r="BQ223" s="135"/>
      <c r="BR223" s="135"/>
      <c r="BS223" s="135"/>
      <c r="BT223" s="135"/>
      <c r="BU223" s="135"/>
      <c r="BV223" s="135"/>
      <c r="BW223" s="135"/>
      <c r="BX223" s="135"/>
      <c r="BY223" s="135"/>
      <c r="BZ223" s="135"/>
      <c r="CA223" s="135"/>
      <c r="CB223" s="135"/>
      <c r="CC223" s="135"/>
      <c r="CD223" s="135"/>
      <c r="CE223" s="135"/>
      <c r="CF223" s="135"/>
      <c r="CG223" s="135"/>
      <c r="CH223" s="135"/>
      <c r="CI223" s="135"/>
      <c r="CJ223" s="135"/>
      <c r="CK223" s="135"/>
      <c r="CL223" s="135"/>
      <c r="CM223" s="135"/>
      <c r="CN223" s="135"/>
      <c r="CO223" s="135"/>
      <c r="CP223" s="135"/>
      <c r="CQ223" s="135"/>
      <c r="CR223" s="135"/>
      <c r="CS223" s="135"/>
      <c r="CT223" s="135"/>
      <c r="CU223" s="135"/>
      <c r="CV223" s="135"/>
      <c r="CW223" s="135"/>
      <c r="CX223" s="135"/>
      <c r="CY223" s="135"/>
      <c r="CZ223" s="135"/>
      <c r="DA223" s="135"/>
      <c r="DB223" s="135"/>
      <c r="DC223" s="135"/>
      <c r="DD223" s="135"/>
      <c r="DE223" s="135"/>
      <c r="DF223" s="135"/>
      <c r="DG223" s="135"/>
      <c r="DH223" s="135"/>
      <c r="DI223" s="135"/>
      <c r="DJ223" s="135"/>
      <c r="DK223" s="135"/>
      <c r="DL223" s="135"/>
      <c r="DM223" s="135"/>
      <c r="DN223" s="135"/>
      <c r="DO223" s="135"/>
      <c r="DP223" s="135"/>
      <c r="DQ223" s="135"/>
      <c r="DR223" s="135"/>
      <c r="DS223" s="135"/>
      <c r="DT223" s="135"/>
      <c r="DU223" s="135"/>
      <c r="DV223" s="135"/>
      <c r="DW223" s="135"/>
      <c r="DX223" s="135"/>
      <c r="DY223" s="135"/>
      <c r="DZ223" s="135"/>
      <c r="EA223" s="135"/>
      <c r="EB223" s="135"/>
      <c r="EC223" s="135"/>
      <c r="ED223" s="135"/>
      <c r="EE223" s="135"/>
      <c r="EF223" s="135"/>
      <c r="EG223" s="135"/>
      <c r="EH223" s="135"/>
      <c r="EI223" s="135"/>
      <c r="EJ223" s="135"/>
      <c r="EK223" s="135"/>
      <c r="EL223" s="135"/>
      <c r="EM223" s="135"/>
      <c r="EN223" s="135"/>
      <c r="EO223" s="135"/>
      <c r="EP223" s="135"/>
      <c r="EQ223" s="135"/>
      <c r="ER223" s="135"/>
      <c r="ES223" s="135"/>
      <c r="ET223" s="135"/>
      <c r="EU223" s="135"/>
      <c r="EV223" s="135"/>
      <c r="EW223" s="135"/>
      <c r="EX223" s="135"/>
      <c r="EY223" s="135"/>
      <c r="EZ223" s="135"/>
      <c r="FA223" s="135"/>
      <c r="FB223" s="135"/>
    </row>
    <row r="224" spans="4:158" hidden="1" x14ac:dyDescent="0.25"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  <c r="Y224" s="135"/>
      <c r="Z224" s="135"/>
      <c r="AA224" s="135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135"/>
      <c r="AO224" s="135"/>
      <c r="AP224" s="135"/>
      <c r="AQ224" s="135"/>
      <c r="AR224" s="135"/>
      <c r="AS224" s="135"/>
      <c r="AT224" s="135"/>
      <c r="AU224" s="135"/>
      <c r="AV224" s="135"/>
      <c r="AW224" s="135"/>
      <c r="AX224" s="135"/>
      <c r="AY224" s="135"/>
      <c r="AZ224" s="135"/>
      <c r="BA224" s="135"/>
      <c r="BB224" s="135"/>
      <c r="BC224" s="135"/>
      <c r="BD224" s="135"/>
      <c r="BE224" s="135"/>
      <c r="BF224" s="135"/>
      <c r="BG224" s="135"/>
      <c r="BH224" s="135"/>
      <c r="BI224" s="135"/>
      <c r="BJ224" s="135"/>
      <c r="BK224" s="135"/>
      <c r="BL224" s="135"/>
      <c r="BM224" s="135"/>
      <c r="BN224" s="135"/>
      <c r="BO224" s="135"/>
      <c r="BP224" s="135"/>
      <c r="BQ224" s="135"/>
      <c r="BR224" s="135"/>
      <c r="BS224" s="135"/>
      <c r="BT224" s="135"/>
      <c r="BU224" s="135"/>
      <c r="BV224" s="135"/>
      <c r="BW224" s="135"/>
      <c r="BX224" s="135"/>
      <c r="BY224" s="135"/>
      <c r="BZ224" s="135"/>
      <c r="CA224" s="135"/>
      <c r="CB224" s="135"/>
      <c r="CC224" s="135"/>
      <c r="CD224" s="135"/>
      <c r="CE224" s="135"/>
      <c r="CF224" s="135"/>
      <c r="CG224" s="135"/>
      <c r="CH224" s="135"/>
      <c r="CI224" s="135"/>
      <c r="CJ224" s="135"/>
      <c r="CK224" s="135"/>
      <c r="CL224" s="135"/>
      <c r="CM224" s="135"/>
      <c r="CN224" s="135"/>
      <c r="CO224" s="135"/>
      <c r="CP224" s="135"/>
      <c r="CQ224" s="135"/>
      <c r="CR224" s="135"/>
      <c r="CS224" s="135"/>
      <c r="CT224" s="135"/>
      <c r="CU224" s="135"/>
      <c r="CV224" s="135"/>
      <c r="CW224" s="135"/>
      <c r="CX224" s="135"/>
      <c r="CY224" s="135"/>
      <c r="CZ224" s="135"/>
      <c r="DA224" s="135"/>
      <c r="DB224" s="135"/>
      <c r="DC224" s="135"/>
      <c r="DD224" s="135"/>
      <c r="DE224" s="135"/>
      <c r="DF224" s="135"/>
      <c r="DG224" s="135"/>
      <c r="DH224" s="135"/>
      <c r="DI224" s="135"/>
      <c r="DJ224" s="135"/>
      <c r="DK224" s="135"/>
      <c r="DL224" s="135"/>
      <c r="DM224" s="135"/>
      <c r="DN224" s="135"/>
      <c r="DO224" s="135"/>
      <c r="DP224" s="135"/>
      <c r="DQ224" s="135"/>
      <c r="DR224" s="135"/>
      <c r="DS224" s="135"/>
      <c r="DT224" s="135"/>
      <c r="DU224" s="135"/>
      <c r="DV224" s="135"/>
      <c r="DW224" s="135"/>
      <c r="DX224" s="135"/>
      <c r="DY224" s="135"/>
      <c r="DZ224" s="135"/>
      <c r="EA224" s="135"/>
      <c r="EB224" s="135"/>
      <c r="EC224" s="135"/>
      <c r="ED224" s="135"/>
      <c r="EE224" s="135"/>
      <c r="EF224" s="135"/>
      <c r="EG224" s="135"/>
      <c r="EH224" s="135"/>
      <c r="EI224" s="135"/>
      <c r="EJ224" s="135"/>
      <c r="EK224" s="135"/>
      <c r="EL224" s="135"/>
      <c r="EM224" s="135"/>
      <c r="EN224" s="135"/>
      <c r="EO224" s="135"/>
      <c r="EP224" s="135"/>
      <c r="EQ224" s="135"/>
      <c r="ER224" s="135"/>
      <c r="ES224" s="135"/>
      <c r="ET224" s="135"/>
      <c r="EU224" s="135"/>
      <c r="EV224" s="135"/>
      <c r="EW224" s="135"/>
      <c r="EX224" s="135"/>
      <c r="EY224" s="135"/>
      <c r="EZ224" s="135"/>
      <c r="FA224" s="135"/>
      <c r="FB224" s="135"/>
    </row>
    <row r="225" spans="4:158" hidden="1" x14ac:dyDescent="0.25"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  <c r="AA225" s="135"/>
      <c r="AB225" s="135"/>
      <c r="AC225" s="135"/>
      <c r="AD225" s="135"/>
      <c r="AE225" s="135"/>
      <c r="AF225" s="135"/>
      <c r="AG225" s="135"/>
      <c r="AH225" s="135"/>
      <c r="AI225" s="135"/>
      <c r="AJ225" s="135"/>
      <c r="AK225" s="135"/>
      <c r="AL225" s="135"/>
      <c r="AM225" s="135"/>
      <c r="AN225" s="135"/>
      <c r="AO225" s="135"/>
      <c r="AP225" s="135"/>
      <c r="AQ225" s="135"/>
      <c r="AR225" s="135"/>
      <c r="AS225" s="135"/>
      <c r="AT225" s="135"/>
      <c r="AU225" s="135"/>
      <c r="AV225" s="135"/>
      <c r="AW225" s="135"/>
      <c r="AX225" s="135"/>
      <c r="AY225" s="135"/>
      <c r="AZ225" s="135"/>
      <c r="BA225" s="135"/>
      <c r="BB225" s="135"/>
      <c r="BC225" s="135"/>
      <c r="BD225" s="135"/>
      <c r="BE225" s="135"/>
      <c r="BF225" s="135"/>
      <c r="BG225" s="135"/>
      <c r="BH225" s="135"/>
      <c r="BI225" s="135"/>
      <c r="BJ225" s="135"/>
      <c r="BK225" s="135"/>
      <c r="BL225" s="135"/>
      <c r="BM225" s="135"/>
      <c r="BN225" s="135"/>
      <c r="BO225" s="135"/>
      <c r="BP225" s="135"/>
      <c r="BQ225" s="135"/>
      <c r="BR225" s="135"/>
      <c r="BS225" s="135"/>
      <c r="BT225" s="135"/>
      <c r="BU225" s="135"/>
      <c r="BV225" s="135"/>
      <c r="BW225" s="135"/>
      <c r="BX225" s="135"/>
      <c r="BY225" s="135"/>
      <c r="BZ225" s="135"/>
      <c r="CA225" s="135"/>
      <c r="CB225" s="135"/>
      <c r="CC225" s="135"/>
      <c r="CD225" s="135"/>
      <c r="CE225" s="135"/>
      <c r="CF225" s="135"/>
      <c r="CG225" s="135"/>
      <c r="CH225" s="135"/>
      <c r="CI225" s="135"/>
      <c r="CJ225" s="135"/>
      <c r="CK225" s="135"/>
      <c r="CL225" s="135"/>
      <c r="CM225" s="135"/>
      <c r="CN225" s="135"/>
      <c r="CO225" s="135"/>
      <c r="CP225" s="135"/>
      <c r="CQ225" s="135"/>
      <c r="CR225" s="135"/>
      <c r="CS225" s="135"/>
      <c r="CT225" s="135"/>
      <c r="CU225" s="135"/>
      <c r="CV225" s="135"/>
      <c r="CW225" s="135"/>
      <c r="CX225" s="135"/>
      <c r="CY225" s="135"/>
      <c r="CZ225" s="135"/>
      <c r="DA225" s="135"/>
      <c r="DB225" s="135"/>
      <c r="DC225" s="135"/>
      <c r="DD225" s="135"/>
      <c r="DE225" s="135"/>
      <c r="DF225" s="135"/>
      <c r="DG225" s="135"/>
      <c r="DH225" s="135"/>
      <c r="DI225" s="135"/>
      <c r="DJ225" s="135"/>
      <c r="DK225" s="135"/>
      <c r="DL225" s="135"/>
      <c r="DM225" s="135"/>
      <c r="DN225" s="135"/>
      <c r="DO225" s="135"/>
      <c r="DP225" s="135"/>
      <c r="DQ225" s="135"/>
      <c r="DR225" s="135"/>
      <c r="DS225" s="135"/>
      <c r="DT225" s="135"/>
      <c r="DU225" s="135"/>
      <c r="DV225" s="135"/>
      <c r="DW225" s="135"/>
      <c r="DX225" s="135"/>
      <c r="DY225" s="135"/>
      <c r="DZ225" s="135"/>
      <c r="EA225" s="135"/>
      <c r="EB225" s="135"/>
      <c r="EC225" s="135"/>
      <c r="ED225" s="135"/>
      <c r="EE225" s="135"/>
      <c r="EF225" s="135"/>
      <c r="EG225" s="135"/>
      <c r="EH225" s="135"/>
      <c r="EI225" s="135"/>
      <c r="EJ225" s="135"/>
      <c r="EK225" s="135"/>
      <c r="EL225" s="135"/>
      <c r="EM225" s="135"/>
      <c r="EN225" s="135"/>
      <c r="EO225" s="135"/>
      <c r="EP225" s="135"/>
      <c r="EQ225" s="135"/>
      <c r="ER225" s="135"/>
      <c r="ES225" s="135"/>
      <c r="ET225" s="135"/>
      <c r="EU225" s="135"/>
      <c r="EV225" s="135"/>
      <c r="EW225" s="135"/>
      <c r="EX225" s="135"/>
      <c r="EY225" s="135"/>
      <c r="EZ225" s="135"/>
      <c r="FA225" s="135"/>
      <c r="FB225" s="135"/>
    </row>
    <row r="226" spans="4:158" hidden="1" x14ac:dyDescent="0.25"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/>
      <c r="AB226" s="135"/>
      <c r="AC226" s="135"/>
      <c r="AD226" s="135"/>
      <c r="AE226" s="135"/>
      <c r="AF226" s="135"/>
      <c r="AG226" s="135"/>
      <c r="AH226" s="135"/>
      <c r="AI226" s="135"/>
      <c r="AJ226" s="135"/>
      <c r="AK226" s="135"/>
      <c r="AL226" s="135"/>
      <c r="AM226" s="135"/>
      <c r="AN226" s="135"/>
      <c r="AO226" s="135"/>
      <c r="AP226" s="135"/>
      <c r="AQ226" s="135"/>
      <c r="AR226" s="135"/>
      <c r="AS226" s="135"/>
      <c r="AT226" s="135"/>
      <c r="AU226" s="135"/>
      <c r="AV226" s="135"/>
      <c r="AW226" s="135"/>
      <c r="AX226" s="135"/>
      <c r="AY226" s="135"/>
      <c r="AZ226" s="135"/>
      <c r="BA226" s="135"/>
      <c r="BB226" s="135"/>
      <c r="BC226" s="135"/>
      <c r="BD226" s="135"/>
      <c r="BE226" s="135"/>
      <c r="BF226" s="135"/>
      <c r="BG226" s="135"/>
      <c r="BH226" s="135"/>
      <c r="BI226" s="135"/>
      <c r="BJ226" s="135"/>
      <c r="BK226" s="135"/>
      <c r="BL226" s="135"/>
      <c r="BM226" s="135"/>
      <c r="BN226" s="135"/>
      <c r="BO226" s="135"/>
      <c r="BP226" s="135"/>
      <c r="BQ226" s="135"/>
      <c r="BR226" s="135"/>
      <c r="BS226" s="135"/>
      <c r="BT226" s="135"/>
      <c r="BU226" s="135"/>
      <c r="BV226" s="135"/>
      <c r="BW226" s="135"/>
      <c r="BX226" s="135"/>
      <c r="BY226" s="135"/>
      <c r="BZ226" s="135"/>
      <c r="CA226" s="135"/>
      <c r="CB226" s="135"/>
      <c r="CC226" s="135"/>
      <c r="CD226" s="135"/>
      <c r="CE226" s="135"/>
      <c r="CF226" s="135"/>
      <c r="CG226" s="135"/>
      <c r="CH226" s="135"/>
      <c r="CI226" s="135"/>
      <c r="CJ226" s="135"/>
      <c r="CK226" s="135"/>
      <c r="CL226" s="135"/>
      <c r="CM226" s="135"/>
      <c r="CN226" s="135"/>
      <c r="CO226" s="135"/>
      <c r="CP226" s="135"/>
      <c r="CQ226" s="135"/>
      <c r="CR226" s="135"/>
      <c r="CS226" s="135"/>
      <c r="CT226" s="135"/>
      <c r="CU226" s="135"/>
      <c r="CV226" s="135"/>
      <c r="CW226" s="135"/>
      <c r="CX226" s="135"/>
      <c r="CY226" s="135"/>
      <c r="CZ226" s="135"/>
      <c r="DA226" s="135"/>
      <c r="DB226" s="135"/>
      <c r="DC226" s="135"/>
      <c r="DD226" s="135"/>
      <c r="DE226" s="135"/>
      <c r="DF226" s="135"/>
      <c r="DG226" s="135"/>
      <c r="DH226" s="135"/>
      <c r="DI226" s="135"/>
      <c r="DJ226" s="135"/>
      <c r="DK226" s="135"/>
      <c r="DL226" s="135"/>
      <c r="DM226" s="135"/>
      <c r="DN226" s="135"/>
      <c r="DO226" s="135"/>
      <c r="DP226" s="135"/>
      <c r="DQ226" s="135"/>
      <c r="DR226" s="135"/>
      <c r="DS226" s="135"/>
      <c r="DT226" s="135"/>
      <c r="DU226" s="135"/>
      <c r="DV226" s="135"/>
      <c r="DW226" s="135"/>
      <c r="DX226" s="135"/>
      <c r="DY226" s="135"/>
      <c r="DZ226" s="135"/>
      <c r="EA226" s="135"/>
      <c r="EB226" s="135"/>
      <c r="EC226" s="135"/>
      <c r="ED226" s="135"/>
      <c r="EE226" s="135"/>
      <c r="EF226" s="135"/>
      <c r="EG226" s="135"/>
      <c r="EH226" s="135"/>
      <c r="EI226" s="135"/>
      <c r="EJ226" s="135"/>
      <c r="EK226" s="135"/>
      <c r="EL226" s="135"/>
      <c r="EM226" s="135"/>
      <c r="EN226" s="135"/>
      <c r="EO226" s="135"/>
      <c r="EP226" s="135"/>
      <c r="EQ226" s="135"/>
      <c r="ER226" s="135"/>
      <c r="ES226" s="135"/>
      <c r="ET226" s="135"/>
      <c r="EU226" s="135"/>
      <c r="EV226" s="135"/>
      <c r="EW226" s="135"/>
      <c r="EX226" s="135"/>
      <c r="EY226" s="135"/>
      <c r="EZ226" s="135"/>
      <c r="FA226" s="135"/>
      <c r="FB226" s="135"/>
    </row>
    <row r="227" spans="4:158" hidden="1" x14ac:dyDescent="0.25"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  <c r="Y227" s="135"/>
      <c r="Z227" s="135"/>
      <c r="AA227" s="135"/>
      <c r="AB227" s="135"/>
      <c r="AC227" s="135"/>
      <c r="AD227" s="135"/>
      <c r="AE227" s="135"/>
      <c r="AF227" s="135"/>
      <c r="AG227" s="135"/>
      <c r="AH227" s="135"/>
      <c r="AI227" s="135"/>
      <c r="AJ227" s="135"/>
      <c r="AK227" s="135"/>
      <c r="AL227" s="135"/>
      <c r="AM227" s="135"/>
      <c r="AN227" s="135"/>
      <c r="AO227" s="135"/>
      <c r="AP227" s="135"/>
      <c r="AQ227" s="135"/>
      <c r="AR227" s="135"/>
      <c r="AS227" s="135"/>
      <c r="AT227" s="135"/>
      <c r="AU227" s="135"/>
      <c r="AV227" s="135"/>
      <c r="AW227" s="135"/>
      <c r="AX227" s="135"/>
      <c r="AY227" s="135"/>
      <c r="AZ227" s="135"/>
      <c r="BA227" s="135"/>
      <c r="BB227" s="135"/>
      <c r="BC227" s="135"/>
      <c r="BD227" s="135"/>
      <c r="BE227" s="135"/>
      <c r="BF227" s="135"/>
      <c r="BG227" s="135"/>
      <c r="BH227" s="135"/>
      <c r="BI227" s="135"/>
      <c r="BJ227" s="135"/>
      <c r="BK227" s="135"/>
      <c r="BL227" s="135"/>
      <c r="BM227" s="135"/>
      <c r="BN227" s="135"/>
      <c r="BO227" s="135"/>
      <c r="BP227" s="135"/>
      <c r="BQ227" s="135"/>
      <c r="BR227" s="135"/>
      <c r="BS227" s="135"/>
      <c r="BT227" s="135"/>
      <c r="BU227" s="135"/>
      <c r="BV227" s="135"/>
      <c r="BW227" s="135"/>
      <c r="BX227" s="135"/>
      <c r="BY227" s="135"/>
      <c r="BZ227" s="135"/>
      <c r="CA227" s="135"/>
      <c r="CB227" s="135"/>
      <c r="CC227" s="135"/>
      <c r="CD227" s="135"/>
      <c r="CE227" s="135"/>
      <c r="CF227" s="135"/>
      <c r="CG227" s="135"/>
      <c r="CH227" s="135"/>
      <c r="CI227" s="135"/>
      <c r="CJ227" s="135"/>
      <c r="CK227" s="135"/>
      <c r="CL227" s="135"/>
      <c r="CM227" s="135"/>
      <c r="CN227" s="135"/>
      <c r="CO227" s="135"/>
      <c r="CP227" s="135"/>
      <c r="CQ227" s="135"/>
      <c r="CR227" s="135"/>
      <c r="CS227" s="135"/>
      <c r="CT227" s="135"/>
      <c r="CU227" s="135"/>
      <c r="CV227" s="135"/>
      <c r="CW227" s="135"/>
      <c r="CX227" s="135"/>
      <c r="CY227" s="135"/>
      <c r="CZ227" s="135"/>
      <c r="DA227" s="135"/>
      <c r="DB227" s="135"/>
      <c r="DC227" s="135"/>
      <c r="DD227" s="135"/>
      <c r="DE227" s="135"/>
      <c r="DF227" s="135"/>
      <c r="DG227" s="135"/>
      <c r="DH227" s="135"/>
      <c r="DI227" s="135"/>
      <c r="DJ227" s="135"/>
      <c r="DK227" s="135"/>
      <c r="DL227" s="135"/>
      <c r="DM227" s="135"/>
      <c r="DN227" s="135"/>
      <c r="DO227" s="135"/>
      <c r="DP227" s="135"/>
      <c r="DQ227" s="135"/>
      <c r="DR227" s="135"/>
      <c r="DS227" s="135"/>
      <c r="DT227" s="135"/>
      <c r="DU227" s="135"/>
      <c r="DV227" s="135"/>
      <c r="DW227" s="135"/>
      <c r="DX227" s="135"/>
      <c r="DY227" s="135"/>
      <c r="DZ227" s="135"/>
      <c r="EA227" s="135"/>
      <c r="EB227" s="135"/>
      <c r="EC227" s="135"/>
      <c r="ED227" s="135"/>
      <c r="EE227" s="135"/>
      <c r="EF227" s="135"/>
      <c r="EG227" s="135"/>
      <c r="EH227" s="135"/>
      <c r="EI227" s="135"/>
      <c r="EJ227" s="135"/>
      <c r="EK227" s="135"/>
      <c r="EL227" s="135"/>
      <c r="EM227" s="135"/>
      <c r="EN227" s="135"/>
      <c r="EO227" s="135"/>
      <c r="EP227" s="135"/>
      <c r="EQ227" s="135"/>
      <c r="ER227" s="135"/>
      <c r="ES227" s="135"/>
      <c r="ET227" s="135"/>
      <c r="EU227" s="135"/>
      <c r="EV227" s="135"/>
      <c r="EW227" s="135"/>
      <c r="EX227" s="135"/>
      <c r="EY227" s="135"/>
      <c r="EZ227" s="135"/>
      <c r="FA227" s="135"/>
      <c r="FB227" s="135"/>
    </row>
    <row r="228" spans="4:158" hidden="1" x14ac:dyDescent="0.25"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  <c r="W228" s="135"/>
      <c r="X228" s="135"/>
      <c r="Y228" s="135"/>
      <c r="Z228" s="135"/>
      <c r="AA228" s="135"/>
      <c r="AB228" s="135"/>
      <c r="AC228" s="135"/>
      <c r="AD228" s="135"/>
      <c r="AE228" s="135"/>
      <c r="AF228" s="135"/>
      <c r="AG228" s="135"/>
      <c r="AH228" s="135"/>
      <c r="AI228" s="135"/>
      <c r="AJ228" s="135"/>
      <c r="AK228" s="135"/>
      <c r="AL228" s="135"/>
      <c r="AM228" s="135"/>
      <c r="AN228" s="135"/>
      <c r="AO228" s="135"/>
      <c r="AP228" s="135"/>
      <c r="AQ228" s="135"/>
      <c r="AR228" s="135"/>
      <c r="AS228" s="135"/>
      <c r="AT228" s="135"/>
      <c r="AU228" s="135"/>
      <c r="AV228" s="135"/>
      <c r="AW228" s="135"/>
      <c r="AX228" s="135"/>
      <c r="AY228" s="135"/>
      <c r="AZ228" s="135"/>
      <c r="BA228" s="135"/>
      <c r="BB228" s="135"/>
      <c r="BC228" s="135"/>
      <c r="BD228" s="135"/>
      <c r="BE228" s="135"/>
      <c r="BF228" s="135"/>
      <c r="BG228" s="135"/>
      <c r="BH228" s="135"/>
      <c r="BI228" s="135"/>
      <c r="BJ228" s="135"/>
      <c r="BK228" s="135"/>
      <c r="BL228" s="135"/>
      <c r="BM228" s="135"/>
      <c r="BN228" s="135"/>
      <c r="BO228" s="135"/>
      <c r="BP228" s="135"/>
      <c r="BQ228" s="135"/>
      <c r="BR228" s="135"/>
      <c r="BS228" s="135"/>
      <c r="BT228" s="135"/>
      <c r="BU228" s="135"/>
      <c r="BV228" s="135"/>
      <c r="BW228" s="135"/>
      <c r="BX228" s="135"/>
      <c r="BY228" s="135"/>
      <c r="BZ228" s="135"/>
      <c r="CA228" s="135"/>
      <c r="CB228" s="135"/>
      <c r="CC228" s="135"/>
      <c r="CD228" s="135"/>
      <c r="CE228" s="135"/>
      <c r="CF228" s="135"/>
      <c r="CG228" s="135"/>
      <c r="CH228" s="135"/>
      <c r="CI228" s="135"/>
      <c r="CJ228" s="135"/>
      <c r="CK228" s="135"/>
      <c r="CL228" s="135"/>
      <c r="CM228" s="135"/>
      <c r="CN228" s="135"/>
      <c r="CO228" s="135"/>
      <c r="CP228" s="135"/>
      <c r="CQ228" s="135"/>
      <c r="CR228" s="135"/>
      <c r="CS228" s="135"/>
      <c r="CT228" s="135"/>
      <c r="CU228" s="135"/>
      <c r="CV228" s="135"/>
      <c r="CW228" s="135"/>
      <c r="CX228" s="135"/>
      <c r="CY228" s="135"/>
      <c r="CZ228" s="135"/>
      <c r="DA228" s="135"/>
      <c r="DB228" s="135"/>
      <c r="DC228" s="135"/>
      <c r="DD228" s="135"/>
      <c r="DE228" s="135"/>
      <c r="DF228" s="135"/>
      <c r="DG228" s="135"/>
      <c r="DH228" s="135"/>
      <c r="DI228" s="135"/>
      <c r="DJ228" s="135"/>
      <c r="DK228" s="135"/>
      <c r="DL228" s="135"/>
      <c r="DM228" s="135"/>
      <c r="DN228" s="135"/>
      <c r="DO228" s="135"/>
      <c r="DP228" s="135"/>
      <c r="DQ228" s="135"/>
      <c r="DR228" s="135"/>
      <c r="DS228" s="135"/>
      <c r="DT228" s="135"/>
      <c r="DU228" s="135"/>
      <c r="DV228" s="135"/>
      <c r="DW228" s="135"/>
      <c r="DX228" s="135"/>
      <c r="DY228" s="135"/>
      <c r="DZ228" s="135"/>
      <c r="EA228" s="135"/>
      <c r="EB228" s="135"/>
      <c r="EC228" s="135"/>
      <c r="ED228" s="135"/>
      <c r="EE228" s="135"/>
      <c r="EF228" s="135"/>
      <c r="EG228" s="135"/>
      <c r="EH228" s="135"/>
      <c r="EI228" s="135"/>
      <c r="EJ228" s="135"/>
      <c r="EK228" s="135"/>
      <c r="EL228" s="135"/>
      <c r="EM228" s="135"/>
      <c r="EN228" s="135"/>
      <c r="EO228" s="135"/>
      <c r="EP228" s="135"/>
      <c r="EQ228" s="135"/>
      <c r="ER228" s="135"/>
      <c r="ES228" s="135"/>
      <c r="ET228" s="135"/>
      <c r="EU228" s="135"/>
      <c r="EV228" s="135"/>
      <c r="EW228" s="135"/>
      <c r="EX228" s="135"/>
      <c r="EY228" s="135"/>
      <c r="EZ228" s="135"/>
      <c r="FA228" s="135"/>
      <c r="FB228" s="135"/>
    </row>
    <row r="229" spans="4:158" hidden="1" x14ac:dyDescent="0.25"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  <c r="Z229" s="135"/>
      <c r="AA229" s="135"/>
      <c r="AB229" s="135"/>
      <c r="AC229" s="135"/>
      <c r="AD229" s="135"/>
      <c r="AE229" s="135"/>
      <c r="AF229" s="135"/>
      <c r="AG229" s="135"/>
      <c r="AH229" s="135"/>
      <c r="AI229" s="135"/>
      <c r="AJ229" s="135"/>
      <c r="AK229" s="135"/>
      <c r="AL229" s="135"/>
      <c r="AM229" s="135"/>
      <c r="AN229" s="135"/>
      <c r="AO229" s="135"/>
      <c r="AP229" s="135"/>
      <c r="AQ229" s="135"/>
      <c r="AR229" s="135"/>
      <c r="AS229" s="135"/>
      <c r="AT229" s="135"/>
      <c r="AU229" s="135"/>
      <c r="AV229" s="135"/>
      <c r="AW229" s="135"/>
      <c r="AX229" s="135"/>
      <c r="AY229" s="135"/>
      <c r="AZ229" s="135"/>
      <c r="BA229" s="135"/>
      <c r="BB229" s="135"/>
      <c r="BC229" s="135"/>
      <c r="BD229" s="135"/>
      <c r="BE229" s="135"/>
      <c r="BF229" s="135"/>
      <c r="BG229" s="135"/>
      <c r="BH229" s="135"/>
      <c r="BI229" s="135"/>
      <c r="BJ229" s="135"/>
      <c r="BK229" s="135"/>
      <c r="BL229" s="135"/>
      <c r="BM229" s="135"/>
      <c r="BN229" s="135"/>
      <c r="BO229" s="135"/>
      <c r="BP229" s="135"/>
      <c r="BQ229" s="135"/>
      <c r="BR229" s="135"/>
      <c r="BS229" s="135"/>
      <c r="BT229" s="135"/>
      <c r="BU229" s="135"/>
      <c r="BV229" s="135"/>
      <c r="BW229" s="135"/>
      <c r="BX229" s="135"/>
      <c r="BY229" s="135"/>
      <c r="BZ229" s="135"/>
      <c r="CA229" s="135"/>
      <c r="CB229" s="135"/>
      <c r="CC229" s="135"/>
      <c r="CD229" s="135"/>
      <c r="CE229" s="135"/>
      <c r="CF229" s="135"/>
      <c r="CG229" s="135"/>
      <c r="CH229" s="135"/>
      <c r="CI229" s="135"/>
      <c r="CJ229" s="135"/>
      <c r="CK229" s="135"/>
      <c r="CL229" s="135"/>
      <c r="CM229" s="135"/>
      <c r="CN229" s="135"/>
      <c r="CO229" s="135"/>
      <c r="CP229" s="135"/>
      <c r="CQ229" s="135"/>
      <c r="CR229" s="135"/>
      <c r="CS229" s="135"/>
      <c r="CT229" s="135"/>
      <c r="CU229" s="135"/>
      <c r="CV229" s="135"/>
      <c r="CW229" s="135"/>
      <c r="CX229" s="135"/>
      <c r="CY229" s="135"/>
      <c r="CZ229" s="135"/>
      <c r="DA229" s="135"/>
      <c r="DB229" s="135"/>
      <c r="DC229" s="135"/>
      <c r="DD229" s="135"/>
      <c r="DE229" s="135"/>
      <c r="DF229" s="135"/>
      <c r="DG229" s="135"/>
      <c r="DH229" s="135"/>
      <c r="DI229" s="135"/>
      <c r="DJ229" s="135"/>
      <c r="DK229" s="135"/>
      <c r="DL229" s="135"/>
      <c r="DM229" s="135"/>
      <c r="DN229" s="135"/>
      <c r="DO229" s="135"/>
      <c r="DP229" s="135"/>
      <c r="DQ229" s="135"/>
      <c r="DR229" s="135"/>
      <c r="DS229" s="135"/>
      <c r="DT229" s="135"/>
      <c r="DU229" s="135"/>
      <c r="DV229" s="135"/>
      <c r="DW229" s="135"/>
      <c r="DX229" s="135"/>
      <c r="DY229" s="135"/>
      <c r="DZ229" s="135"/>
      <c r="EA229" s="135"/>
      <c r="EB229" s="135"/>
      <c r="EC229" s="135"/>
      <c r="ED229" s="135"/>
      <c r="EE229" s="135"/>
      <c r="EF229" s="135"/>
      <c r="EG229" s="135"/>
      <c r="EH229" s="135"/>
      <c r="EI229" s="135"/>
      <c r="EJ229" s="135"/>
      <c r="EK229" s="135"/>
      <c r="EL229" s="135"/>
      <c r="EM229" s="135"/>
      <c r="EN229" s="135"/>
      <c r="EO229" s="135"/>
      <c r="EP229" s="135"/>
      <c r="EQ229" s="135"/>
      <c r="ER229" s="135"/>
      <c r="ES229" s="135"/>
      <c r="ET229" s="135"/>
      <c r="EU229" s="135"/>
      <c r="EV229" s="135"/>
      <c r="EW229" s="135"/>
      <c r="EX229" s="135"/>
      <c r="EY229" s="135"/>
      <c r="EZ229" s="135"/>
      <c r="FA229" s="135"/>
      <c r="FB229" s="135"/>
    </row>
    <row r="230" spans="4:158" hidden="1" x14ac:dyDescent="0.25"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  <c r="Y230" s="135"/>
      <c r="Z230" s="135"/>
      <c r="AA230" s="135"/>
      <c r="AB230" s="135"/>
      <c r="AC230" s="135"/>
      <c r="AD230" s="135"/>
      <c r="AE230" s="135"/>
      <c r="AF230" s="135"/>
      <c r="AG230" s="135"/>
      <c r="AH230" s="135"/>
      <c r="AI230" s="135"/>
      <c r="AJ230" s="135"/>
      <c r="AK230" s="135"/>
      <c r="AL230" s="135"/>
      <c r="AM230" s="135"/>
      <c r="AN230" s="135"/>
      <c r="AO230" s="135"/>
      <c r="AP230" s="135"/>
      <c r="AQ230" s="135"/>
      <c r="AR230" s="135"/>
      <c r="AS230" s="135"/>
      <c r="AT230" s="135"/>
      <c r="AU230" s="135"/>
      <c r="AV230" s="135"/>
      <c r="AW230" s="135"/>
      <c r="AX230" s="135"/>
      <c r="AY230" s="135"/>
      <c r="AZ230" s="135"/>
      <c r="BA230" s="135"/>
      <c r="BB230" s="135"/>
      <c r="BC230" s="135"/>
      <c r="BD230" s="135"/>
      <c r="BE230" s="135"/>
      <c r="BF230" s="135"/>
      <c r="BG230" s="135"/>
      <c r="BH230" s="135"/>
      <c r="BI230" s="135"/>
      <c r="BJ230" s="135"/>
      <c r="BK230" s="135"/>
      <c r="BL230" s="135"/>
      <c r="BM230" s="135"/>
      <c r="BN230" s="135"/>
      <c r="BO230" s="135"/>
      <c r="BP230" s="135"/>
      <c r="BQ230" s="135"/>
      <c r="BR230" s="135"/>
      <c r="BS230" s="135"/>
      <c r="BT230" s="135"/>
      <c r="BU230" s="135"/>
      <c r="BV230" s="135"/>
      <c r="BW230" s="135"/>
      <c r="BX230" s="135"/>
      <c r="BY230" s="135"/>
      <c r="BZ230" s="135"/>
      <c r="CA230" s="135"/>
      <c r="CB230" s="135"/>
      <c r="CC230" s="135"/>
      <c r="CD230" s="135"/>
      <c r="CE230" s="135"/>
      <c r="CF230" s="135"/>
      <c r="CG230" s="135"/>
      <c r="CH230" s="135"/>
      <c r="CI230" s="135"/>
      <c r="CJ230" s="135"/>
      <c r="CK230" s="135"/>
      <c r="CL230" s="135"/>
      <c r="CM230" s="135"/>
      <c r="CN230" s="135"/>
      <c r="CO230" s="135"/>
      <c r="CP230" s="135"/>
      <c r="CQ230" s="135"/>
      <c r="CR230" s="135"/>
      <c r="CS230" s="135"/>
      <c r="CT230" s="135"/>
      <c r="CU230" s="135"/>
      <c r="CV230" s="135"/>
      <c r="CW230" s="135"/>
      <c r="CX230" s="135"/>
      <c r="CY230" s="135"/>
      <c r="CZ230" s="135"/>
      <c r="DA230" s="135"/>
      <c r="DB230" s="135"/>
      <c r="DC230" s="135"/>
      <c r="DD230" s="135"/>
      <c r="DE230" s="135"/>
      <c r="DF230" s="135"/>
      <c r="DG230" s="135"/>
      <c r="DH230" s="135"/>
      <c r="DI230" s="135"/>
      <c r="DJ230" s="135"/>
      <c r="DK230" s="135"/>
      <c r="DL230" s="135"/>
      <c r="DM230" s="135"/>
      <c r="DN230" s="135"/>
      <c r="DO230" s="135"/>
      <c r="DP230" s="135"/>
      <c r="DQ230" s="135"/>
      <c r="DR230" s="135"/>
      <c r="DS230" s="135"/>
      <c r="DT230" s="135"/>
      <c r="DU230" s="135"/>
      <c r="DV230" s="135"/>
      <c r="DW230" s="135"/>
      <c r="DX230" s="135"/>
      <c r="DY230" s="135"/>
      <c r="DZ230" s="135"/>
      <c r="EA230" s="135"/>
      <c r="EB230" s="135"/>
      <c r="EC230" s="135"/>
      <c r="ED230" s="135"/>
      <c r="EE230" s="135"/>
      <c r="EF230" s="135"/>
      <c r="EG230" s="135"/>
      <c r="EH230" s="135"/>
      <c r="EI230" s="135"/>
      <c r="EJ230" s="135"/>
      <c r="EK230" s="135"/>
      <c r="EL230" s="135"/>
      <c r="EM230" s="135"/>
      <c r="EN230" s="135"/>
      <c r="EO230" s="135"/>
      <c r="EP230" s="135"/>
      <c r="EQ230" s="135"/>
      <c r="ER230" s="135"/>
      <c r="ES230" s="135"/>
      <c r="ET230" s="135"/>
      <c r="EU230" s="135"/>
      <c r="EV230" s="135"/>
      <c r="EW230" s="135"/>
      <c r="EX230" s="135"/>
      <c r="EY230" s="135"/>
      <c r="EZ230" s="135"/>
      <c r="FA230" s="135"/>
      <c r="FB230" s="135"/>
    </row>
    <row r="231" spans="4:158" hidden="1" x14ac:dyDescent="0.25"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  <c r="Z231" s="135"/>
      <c r="AA231" s="135"/>
      <c r="AB231" s="135"/>
      <c r="AC231" s="135"/>
      <c r="AD231" s="135"/>
      <c r="AE231" s="135"/>
      <c r="AF231" s="135"/>
      <c r="AG231" s="135"/>
      <c r="AH231" s="135"/>
      <c r="AI231" s="135"/>
      <c r="AJ231" s="135"/>
      <c r="AK231" s="135"/>
      <c r="AL231" s="135"/>
      <c r="AM231" s="135"/>
      <c r="AN231" s="135"/>
      <c r="AO231" s="135"/>
      <c r="AP231" s="135"/>
      <c r="AQ231" s="135"/>
      <c r="AR231" s="135"/>
      <c r="AS231" s="135"/>
      <c r="AT231" s="135"/>
      <c r="AU231" s="135"/>
      <c r="AV231" s="135"/>
      <c r="AW231" s="135"/>
      <c r="AX231" s="135"/>
      <c r="AY231" s="135"/>
      <c r="AZ231" s="135"/>
      <c r="BA231" s="135"/>
      <c r="BB231" s="135"/>
      <c r="BC231" s="135"/>
      <c r="BD231" s="135"/>
      <c r="BE231" s="135"/>
      <c r="BF231" s="135"/>
      <c r="BG231" s="135"/>
      <c r="BH231" s="135"/>
      <c r="BI231" s="135"/>
      <c r="BJ231" s="135"/>
      <c r="BK231" s="135"/>
      <c r="BL231" s="135"/>
      <c r="BM231" s="135"/>
      <c r="BN231" s="135"/>
      <c r="BO231" s="135"/>
      <c r="BP231" s="135"/>
      <c r="BQ231" s="135"/>
      <c r="BR231" s="135"/>
      <c r="BS231" s="135"/>
      <c r="BT231" s="135"/>
      <c r="BU231" s="135"/>
      <c r="BV231" s="135"/>
      <c r="BW231" s="135"/>
      <c r="BX231" s="135"/>
      <c r="BY231" s="135"/>
      <c r="BZ231" s="135"/>
      <c r="CA231" s="135"/>
      <c r="CB231" s="135"/>
      <c r="CC231" s="135"/>
      <c r="CD231" s="135"/>
      <c r="CE231" s="135"/>
      <c r="CF231" s="135"/>
      <c r="CG231" s="135"/>
      <c r="CH231" s="135"/>
      <c r="CI231" s="135"/>
      <c r="CJ231" s="135"/>
      <c r="CK231" s="135"/>
      <c r="CL231" s="135"/>
      <c r="CM231" s="135"/>
      <c r="CN231" s="135"/>
      <c r="CO231" s="135"/>
      <c r="CP231" s="135"/>
      <c r="CQ231" s="135"/>
      <c r="CR231" s="135"/>
      <c r="CS231" s="135"/>
      <c r="CT231" s="135"/>
      <c r="CU231" s="135"/>
      <c r="CV231" s="135"/>
      <c r="CW231" s="135"/>
      <c r="CX231" s="135"/>
      <c r="CY231" s="135"/>
      <c r="CZ231" s="135"/>
      <c r="DA231" s="135"/>
      <c r="DB231" s="135"/>
      <c r="DC231" s="135"/>
      <c r="DD231" s="135"/>
      <c r="DE231" s="135"/>
      <c r="DF231" s="135"/>
      <c r="DG231" s="135"/>
      <c r="DH231" s="135"/>
      <c r="DI231" s="135"/>
      <c r="DJ231" s="135"/>
      <c r="DK231" s="135"/>
      <c r="DL231" s="135"/>
      <c r="DM231" s="135"/>
      <c r="DN231" s="135"/>
      <c r="DO231" s="135"/>
      <c r="DP231" s="135"/>
      <c r="DQ231" s="135"/>
      <c r="DR231" s="135"/>
      <c r="DS231" s="135"/>
      <c r="DT231" s="135"/>
      <c r="DU231" s="135"/>
      <c r="DV231" s="135"/>
      <c r="DW231" s="135"/>
      <c r="DX231" s="135"/>
      <c r="DY231" s="135"/>
      <c r="DZ231" s="135"/>
      <c r="EA231" s="135"/>
      <c r="EB231" s="135"/>
      <c r="EC231" s="135"/>
      <c r="ED231" s="135"/>
      <c r="EE231" s="135"/>
      <c r="EF231" s="135"/>
      <c r="EG231" s="135"/>
      <c r="EH231" s="135"/>
      <c r="EI231" s="135"/>
      <c r="EJ231" s="135"/>
      <c r="EK231" s="135"/>
      <c r="EL231" s="135"/>
      <c r="EM231" s="135"/>
      <c r="EN231" s="135"/>
      <c r="EO231" s="135"/>
      <c r="EP231" s="135"/>
      <c r="EQ231" s="135"/>
      <c r="ER231" s="135"/>
      <c r="ES231" s="135"/>
      <c r="ET231" s="135"/>
      <c r="EU231" s="135"/>
      <c r="EV231" s="135"/>
      <c r="EW231" s="135"/>
      <c r="EX231" s="135"/>
      <c r="EY231" s="135"/>
      <c r="EZ231" s="135"/>
      <c r="FA231" s="135"/>
      <c r="FB231" s="135"/>
    </row>
    <row r="232" spans="4:158" hidden="1" x14ac:dyDescent="0.25"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5"/>
      <c r="Y232" s="135"/>
      <c r="Z232" s="135"/>
      <c r="AA232" s="135"/>
      <c r="AB232" s="135"/>
      <c r="AC232" s="135"/>
      <c r="AD232" s="135"/>
      <c r="AE232" s="135"/>
      <c r="AF232" s="135"/>
      <c r="AG232" s="135"/>
      <c r="AH232" s="135"/>
      <c r="AI232" s="135"/>
      <c r="AJ232" s="135"/>
      <c r="AK232" s="135"/>
      <c r="AL232" s="135"/>
      <c r="AM232" s="135"/>
      <c r="AN232" s="135"/>
      <c r="AO232" s="135"/>
      <c r="AP232" s="135"/>
      <c r="AQ232" s="135"/>
      <c r="AR232" s="135"/>
      <c r="AS232" s="135"/>
      <c r="AT232" s="135"/>
      <c r="AU232" s="135"/>
      <c r="AV232" s="135"/>
      <c r="AW232" s="135"/>
      <c r="AX232" s="135"/>
      <c r="AY232" s="135"/>
      <c r="AZ232" s="135"/>
      <c r="BA232" s="135"/>
      <c r="BB232" s="135"/>
      <c r="BC232" s="135"/>
      <c r="BD232" s="135"/>
      <c r="BE232" s="135"/>
      <c r="BF232" s="135"/>
      <c r="BG232" s="135"/>
      <c r="BH232" s="135"/>
      <c r="BI232" s="135"/>
      <c r="BJ232" s="135"/>
      <c r="BK232" s="135"/>
      <c r="BL232" s="135"/>
      <c r="BM232" s="135"/>
      <c r="BN232" s="135"/>
      <c r="BO232" s="135"/>
      <c r="BP232" s="135"/>
      <c r="BQ232" s="135"/>
      <c r="BR232" s="135"/>
      <c r="BS232" s="135"/>
      <c r="BT232" s="135"/>
      <c r="BU232" s="135"/>
      <c r="BV232" s="135"/>
      <c r="BW232" s="135"/>
      <c r="BX232" s="135"/>
      <c r="BY232" s="135"/>
      <c r="BZ232" s="135"/>
      <c r="CA232" s="135"/>
      <c r="CB232" s="135"/>
      <c r="CC232" s="135"/>
      <c r="CD232" s="135"/>
      <c r="CE232" s="135"/>
      <c r="CF232" s="135"/>
      <c r="CG232" s="135"/>
      <c r="CH232" s="135"/>
      <c r="CI232" s="135"/>
      <c r="CJ232" s="135"/>
      <c r="CK232" s="135"/>
      <c r="CL232" s="135"/>
      <c r="CM232" s="135"/>
      <c r="CN232" s="135"/>
      <c r="CO232" s="135"/>
      <c r="CP232" s="135"/>
      <c r="CQ232" s="135"/>
      <c r="CR232" s="135"/>
      <c r="CS232" s="135"/>
      <c r="CT232" s="135"/>
      <c r="CU232" s="135"/>
      <c r="CV232" s="135"/>
      <c r="CW232" s="135"/>
      <c r="CX232" s="135"/>
      <c r="CY232" s="135"/>
      <c r="CZ232" s="135"/>
      <c r="DA232" s="135"/>
      <c r="DB232" s="135"/>
      <c r="DC232" s="135"/>
      <c r="DD232" s="135"/>
      <c r="DE232" s="135"/>
      <c r="DF232" s="135"/>
      <c r="DG232" s="135"/>
      <c r="DH232" s="135"/>
      <c r="DI232" s="135"/>
      <c r="DJ232" s="135"/>
      <c r="DK232" s="135"/>
      <c r="DL232" s="135"/>
      <c r="DM232" s="135"/>
      <c r="DN232" s="135"/>
      <c r="DO232" s="135"/>
      <c r="DP232" s="135"/>
      <c r="DQ232" s="135"/>
      <c r="DR232" s="135"/>
      <c r="DS232" s="135"/>
      <c r="DT232" s="135"/>
      <c r="DU232" s="135"/>
      <c r="DV232" s="135"/>
      <c r="DW232" s="135"/>
      <c r="DX232" s="135"/>
      <c r="DY232" s="135"/>
      <c r="DZ232" s="135"/>
      <c r="EA232" s="135"/>
      <c r="EB232" s="135"/>
      <c r="EC232" s="135"/>
      <c r="ED232" s="135"/>
      <c r="EE232" s="135"/>
      <c r="EF232" s="135"/>
      <c r="EG232" s="135"/>
      <c r="EH232" s="135"/>
      <c r="EI232" s="135"/>
      <c r="EJ232" s="135"/>
      <c r="EK232" s="135"/>
      <c r="EL232" s="135"/>
      <c r="EM232" s="135"/>
      <c r="EN232" s="135"/>
      <c r="EO232" s="135"/>
      <c r="EP232" s="135"/>
      <c r="EQ232" s="135"/>
      <c r="ER232" s="135"/>
      <c r="ES232" s="135"/>
      <c r="ET232" s="135"/>
      <c r="EU232" s="135"/>
      <c r="EV232" s="135"/>
      <c r="EW232" s="135"/>
      <c r="EX232" s="135"/>
      <c r="EY232" s="135"/>
      <c r="EZ232" s="135"/>
      <c r="FA232" s="135"/>
      <c r="FB232" s="135"/>
    </row>
    <row r="233" spans="4:158" hidden="1" x14ac:dyDescent="0.25"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  <c r="Y233" s="135"/>
      <c r="Z233" s="135"/>
      <c r="AA233" s="135"/>
      <c r="AB233" s="135"/>
      <c r="AC233" s="135"/>
      <c r="AD233" s="135"/>
      <c r="AE233" s="135"/>
      <c r="AF233" s="135"/>
      <c r="AG233" s="135"/>
      <c r="AH233" s="135"/>
      <c r="AI233" s="135"/>
      <c r="AJ233" s="135"/>
      <c r="AK233" s="135"/>
      <c r="AL233" s="135"/>
      <c r="AM233" s="135"/>
      <c r="AN233" s="135"/>
      <c r="AO233" s="135"/>
      <c r="AP233" s="135"/>
      <c r="AQ233" s="135"/>
      <c r="AR233" s="135"/>
      <c r="AS233" s="135"/>
      <c r="AT233" s="135"/>
      <c r="AU233" s="135"/>
      <c r="AV233" s="135"/>
      <c r="AW233" s="135"/>
      <c r="AX233" s="135"/>
      <c r="AY233" s="135"/>
      <c r="AZ233" s="135"/>
      <c r="BA233" s="135"/>
      <c r="BB233" s="135"/>
      <c r="BC233" s="135"/>
      <c r="BD233" s="135"/>
      <c r="BE233" s="135"/>
      <c r="BF233" s="135"/>
      <c r="BG233" s="135"/>
      <c r="BH233" s="135"/>
      <c r="BI233" s="135"/>
      <c r="BJ233" s="135"/>
      <c r="BK233" s="135"/>
      <c r="BL233" s="135"/>
      <c r="BM233" s="135"/>
      <c r="BN233" s="135"/>
      <c r="BO233" s="135"/>
      <c r="BP233" s="135"/>
      <c r="BQ233" s="135"/>
      <c r="BR233" s="135"/>
      <c r="BS233" s="135"/>
      <c r="BT233" s="135"/>
      <c r="BU233" s="135"/>
      <c r="BV233" s="135"/>
      <c r="BW233" s="135"/>
      <c r="BX233" s="135"/>
      <c r="BY233" s="135"/>
      <c r="BZ233" s="135"/>
      <c r="CA233" s="135"/>
      <c r="CB233" s="135"/>
      <c r="CC233" s="135"/>
      <c r="CD233" s="135"/>
      <c r="CE233" s="135"/>
      <c r="CF233" s="135"/>
      <c r="CG233" s="135"/>
      <c r="CH233" s="135"/>
      <c r="CI233" s="135"/>
      <c r="CJ233" s="135"/>
      <c r="CK233" s="135"/>
      <c r="CL233" s="135"/>
      <c r="CM233" s="135"/>
      <c r="CN233" s="135"/>
      <c r="CO233" s="135"/>
      <c r="CP233" s="135"/>
      <c r="CQ233" s="135"/>
      <c r="CR233" s="135"/>
      <c r="CS233" s="135"/>
      <c r="CT233" s="135"/>
      <c r="CU233" s="135"/>
      <c r="CV233" s="135"/>
      <c r="CW233" s="135"/>
      <c r="CX233" s="135"/>
      <c r="CY233" s="135"/>
      <c r="CZ233" s="135"/>
      <c r="DA233" s="135"/>
      <c r="DB233" s="135"/>
      <c r="DC233" s="135"/>
      <c r="DD233" s="135"/>
      <c r="DE233" s="135"/>
      <c r="DF233" s="135"/>
      <c r="DG233" s="135"/>
      <c r="DH233" s="135"/>
      <c r="DI233" s="135"/>
      <c r="DJ233" s="135"/>
      <c r="DK233" s="135"/>
      <c r="DL233" s="135"/>
      <c r="DM233" s="135"/>
      <c r="DN233" s="135"/>
      <c r="DO233" s="135"/>
      <c r="DP233" s="135"/>
      <c r="DQ233" s="135"/>
      <c r="DR233" s="135"/>
      <c r="DS233" s="135"/>
      <c r="DT233" s="135"/>
      <c r="DU233" s="135"/>
      <c r="DV233" s="135"/>
      <c r="DW233" s="135"/>
      <c r="DX233" s="135"/>
      <c r="DY233" s="135"/>
      <c r="DZ233" s="135"/>
      <c r="EA233" s="135"/>
      <c r="EB233" s="135"/>
      <c r="EC233" s="135"/>
      <c r="ED233" s="135"/>
      <c r="EE233" s="135"/>
      <c r="EF233" s="135"/>
      <c r="EG233" s="135"/>
      <c r="EH233" s="135"/>
      <c r="EI233" s="135"/>
      <c r="EJ233" s="135"/>
      <c r="EK233" s="135"/>
      <c r="EL233" s="135"/>
      <c r="EM233" s="135"/>
      <c r="EN233" s="135"/>
      <c r="EO233" s="135"/>
      <c r="EP233" s="135"/>
      <c r="EQ233" s="135"/>
      <c r="ER233" s="135"/>
      <c r="ES233" s="135"/>
      <c r="ET233" s="135"/>
      <c r="EU233" s="135"/>
      <c r="EV233" s="135"/>
      <c r="EW233" s="135"/>
      <c r="EX233" s="135"/>
      <c r="EY233" s="135"/>
      <c r="EZ233" s="135"/>
      <c r="FA233" s="135"/>
      <c r="FB233" s="135"/>
    </row>
    <row r="234" spans="4:158" hidden="1" x14ac:dyDescent="0.25"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  <c r="Y234" s="135"/>
      <c r="Z234" s="135"/>
      <c r="AA234" s="135"/>
      <c r="AB234" s="135"/>
      <c r="AC234" s="135"/>
      <c r="AD234" s="135"/>
      <c r="AE234" s="135"/>
      <c r="AF234" s="135"/>
      <c r="AG234" s="135"/>
      <c r="AH234" s="135"/>
      <c r="AI234" s="135"/>
      <c r="AJ234" s="135"/>
      <c r="AK234" s="135"/>
      <c r="AL234" s="135"/>
      <c r="AM234" s="135"/>
      <c r="AN234" s="135"/>
      <c r="AO234" s="135"/>
      <c r="AP234" s="135"/>
      <c r="AQ234" s="135"/>
      <c r="AR234" s="135"/>
      <c r="AS234" s="135"/>
      <c r="AT234" s="135"/>
      <c r="AU234" s="135"/>
      <c r="AV234" s="135"/>
      <c r="AW234" s="135"/>
      <c r="AX234" s="135"/>
      <c r="AY234" s="135"/>
      <c r="AZ234" s="135"/>
      <c r="BA234" s="135"/>
      <c r="BB234" s="135"/>
      <c r="BC234" s="135"/>
      <c r="BD234" s="135"/>
      <c r="BE234" s="135"/>
      <c r="BF234" s="135"/>
      <c r="BG234" s="135"/>
      <c r="BH234" s="135"/>
      <c r="BI234" s="135"/>
      <c r="BJ234" s="135"/>
      <c r="BK234" s="135"/>
      <c r="BL234" s="135"/>
      <c r="BM234" s="135"/>
      <c r="BN234" s="135"/>
      <c r="BO234" s="135"/>
      <c r="BP234" s="135"/>
      <c r="BQ234" s="135"/>
      <c r="BR234" s="135"/>
      <c r="BS234" s="135"/>
      <c r="BT234" s="135"/>
      <c r="BU234" s="135"/>
      <c r="BV234" s="135"/>
      <c r="BW234" s="135"/>
      <c r="BX234" s="135"/>
      <c r="BY234" s="135"/>
      <c r="BZ234" s="135"/>
      <c r="CA234" s="135"/>
      <c r="CB234" s="135"/>
      <c r="CC234" s="135"/>
      <c r="CD234" s="135"/>
      <c r="CE234" s="135"/>
      <c r="CF234" s="135"/>
      <c r="CG234" s="135"/>
      <c r="CH234" s="135"/>
      <c r="CI234" s="135"/>
      <c r="CJ234" s="135"/>
      <c r="CK234" s="135"/>
      <c r="CL234" s="135"/>
      <c r="CM234" s="135"/>
      <c r="CN234" s="135"/>
      <c r="CO234" s="135"/>
      <c r="CP234" s="135"/>
      <c r="CQ234" s="135"/>
      <c r="CR234" s="135"/>
      <c r="CS234" s="135"/>
      <c r="CT234" s="135"/>
      <c r="CU234" s="135"/>
      <c r="CV234" s="135"/>
      <c r="CW234" s="135"/>
      <c r="CX234" s="135"/>
      <c r="CY234" s="135"/>
      <c r="CZ234" s="135"/>
      <c r="DA234" s="135"/>
      <c r="DB234" s="135"/>
      <c r="DC234" s="135"/>
      <c r="DD234" s="135"/>
      <c r="DE234" s="135"/>
      <c r="DF234" s="135"/>
      <c r="DG234" s="135"/>
      <c r="DH234" s="135"/>
      <c r="DI234" s="135"/>
      <c r="DJ234" s="135"/>
      <c r="DK234" s="135"/>
      <c r="DL234" s="135"/>
      <c r="DM234" s="135"/>
      <c r="DN234" s="135"/>
      <c r="DO234" s="135"/>
      <c r="DP234" s="135"/>
      <c r="DQ234" s="135"/>
      <c r="DR234" s="135"/>
      <c r="DS234" s="135"/>
      <c r="DT234" s="135"/>
      <c r="DU234" s="135"/>
      <c r="DV234" s="135"/>
      <c r="DW234" s="135"/>
      <c r="DX234" s="135"/>
      <c r="DY234" s="135"/>
      <c r="DZ234" s="135"/>
      <c r="EA234" s="135"/>
      <c r="EB234" s="135"/>
      <c r="EC234" s="135"/>
      <c r="ED234" s="135"/>
      <c r="EE234" s="135"/>
      <c r="EF234" s="135"/>
      <c r="EG234" s="135"/>
      <c r="EH234" s="135"/>
      <c r="EI234" s="135"/>
      <c r="EJ234" s="135"/>
      <c r="EK234" s="135"/>
      <c r="EL234" s="135"/>
      <c r="EM234" s="135"/>
      <c r="EN234" s="135"/>
      <c r="EO234" s="135"/>
      <c r="EP234" s="135"/>
      <c r="EQ234" s="135"/>
      <c r="ER234" s="135"/>
      <c r="ES234" s="135"/>
      <c r="ET234" s="135"/>
      <c r="EU234" s="135"/>
      <c r="EV234" s="135"/>
      <c r="EW234" s="135"/>
      <c r="EX234" s="135"/>
      <c r="EY234" s="135"/>
      <c r="EZ234" s="135"/>
      <c r="FA234" s="135"/>
      <c r="FB234" s="135"/>
    </row>
    <row r="235" spans="4:158" hidden="1" x14ac:dyDescent="0.25"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  <c r="Y235" s="135"/>
      <c r="Z235" s="135"/>
      <c r="AA235" s="135"/>
      <c r="AB235" s="135"/>
      <c r="AC235" s="135"/>
      <c r="AD235" s="135"/>
      <c r="AE235" s="135"/>
      <c r="AF235" s="135"/>
      <c r="AG235" s="135"/>
      <c r="AH235" s="135"/>
      <c r="AI235" s="135"/>
      <c r="AJ235" s="135"/>
      <c r="AK235" s="135"/>
      <c r="AL235" s="135"/>
      <c r="AM235" s="135"/>
      <c r="AN235" s="135"/>
      <c r="AO235" s="135"/>
      <c r="AP235" s="135"/>
      <c r="AQ235" s="135"/>
      <c r="AR235" s="135"/>
      <c r="AS235" s="135"/>
      <c r="AT235" s="135"/>
      <c r="AU235" s="135"/>
      <c r="AV235" s="135"/>
      <c r="AW235" s="135"/>
      <c r="AX235" s="135"/>
      <c r="AY235" s="135"/>
      <c r="AZ235" s="135"/>
      <c r="BA235" s="135"/>
      <c r="BB235" s="135"/>
      <c r="BC235" s="135"/>
      <c r="BD235" s="135"/>
      <c r="BE235" s="135"/>
      <c r="BF235" s="135"/>
      <c r="BG235" s="135"/>
      <c r="BH235" s="135"/>
      <c r="BI235" s="135"/>
      <c r="BJ235" s="135"/>
      <c r="BK235" s="135"/>
      <c r="BL235" s="135"/>
      <c r="BM235" s="135"/>
      <c r="BN235" s="135"/>
      <c r="BO235" s="135"/>
      <c r="BP235" s="135"/>
      <c r="BQ235" s="135"/>
      <c r="BR235" s="135"/>
      <c r="BS235" s="135"/>
      <c r="BT235" s="135"/>
      <c r="BU235" s="135"/>
      <c r="BV235" s="135"/>
      <c r="BW235" s="135"/>
      <c r="BX235" s="135"/>
      <c r="BY235" s="135"/>
      <c r="BZ235" s="135"/>
      <c r="CA235" s="135"/>
      <c r="CB235" s="135"/>
      <c r="CC235" s="135"/>
      <c r="CD235" s="135"/>
      <c r="CE235" s="135"/>
      <c r="CF235" s="135"/>
      <c r="CG235" s="135"/>
      <c r="CH235" s="135"/>
      <c r="CI235" s="135"/>
      <c r="CJ235" s="135"/>
      <c r="CK235" s="135"/>
      <c r="CL235" s="135"/>
      <c r="CM235" s="135"/>
      <c r="CN235" s="135"/>
      <c r="CO235" s="135"/>
      <c r="CP235" s="135"/>
      <c r="CQ235" s="135"/>
      <c r="CR235" s="135"/>
      <c r="CS235" s="135"/>
      <c r="CT235" s="135"/>
      <c r="CU235" s="135"/>
      <c r="CV235" s="135"/>
      <c r="CW235" s="135"/>
      <c r="CX235" s="135"/>
      <c r="CY235" s="135"/>
      <c r="CZ235" s="135"/>
      <c r="DA235" s="135"/>
      <c r="DB235" s="135"/>
      <c r="DC235" s="135"/>
      <c r="DD235" s="135"/>
      <c r="DE235" s="135"/>
      <c r="DF235" s="135"/>
      <c r="DG235" s="135"/>
      <c r="DH235" s="135"/>
      <c r="DI235" s="135"/>
      <c r="DJ235" s="135"/>
      <c r="DK235" s="135"/>
      <c r="DL235" s="135"/>
      <c r="DM235" s="135"/>
      <c r="DN235" s="135"/>
      <c r="DO235" s="135"/>
      <c r="DP235" s="135"/>
      <c r="DQ235" s="135"/>
      <c r="DR235" s="135"/>
      <c r="DS235" s="135"/>
      <c r="DT235" s="135"/>
      <c r="DU235" s="135"/>
      <c r="DV235" s="135"/>
      <c r="DW235" s="135"/>
      <c r="DX235" s="135"/>
      <c r="DY235" s="135"/>
      <c r="DZ235" s="135"/>
      <c r="EA235" s="135"/>
      <c r="EB235" s="135"/>
      <c r="EC235" s="135"/>
      <c r="ED235" s="135"/>
      <c r="EE235" s="135"/>
      <c r="EF235" s="135"/>
      <c r="EG235" s="135"/>
      <c r="EH235" s="135"/>
      <c r="EI235" s="135"/>
      <c r="EJ235" s="135"/>
      <c r="EK235" s="135"/>
      <c r="EL235" s="135"/>
      <c r="EM235" s="135"/>
      <c r="EN235" s="135"/>
      <c r="EO235" s="135"/>
      <c r="EP235" s="135"/>
      <c r="EQ235" s="135"/>
      <c r="ER235" s="135"/>
      <c r="ES235" s="135"/>
      <c r="ET235" s="135"/>
      <c r="EU235" s="135"/>
      <c r="EV235" s="135"/>
      <c r="EW235" s="135"/>
      <c r="EX235" s="135"/>
      <c r="EY235" s="135"/>
      <c r="EZ235" s="135"/>
      <c r="FA235" s="135"/>
      <c r="FB235" s="135"/>
    </row>
    <row r="236" spans="4:158" hidden="1" x14ac:dyDescent="0.25"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  <c r="W236" s="135"/>
      <c r="X236" s="135"/>
      <c r="Y236" s="135"/>
      <c r="Z236" s="135"/>
      <c r="AA236" s="135"/>
      <c r="AB236" s="135"/>
      <c r="AC236" s="135"/>
      <c r="AD236" s="135"/>
      <c r="AE236" s="135"/>
      <c r="AF236" s="135"/>
      <c r="AG236" s="135"/>
      <c r="AH236" s="135"/>
      <c r="AI236" s="135"/>
      <c r="AJ236" s="135"/>
      <c r="AK236" s="135"/>
      <c r="AL236" s="135"/>
      <c r="AM236" s="135"/>
      <c r="AN236" s="135"/>
      <c r="AO236" s="135"/>
      <c r="AP236" s="135"/>
      <c r="AQ236" s="135"/>
      <c r="AR236" s="135"/>
      <c r="AS236" s="135"/>
      <c r="AT236" s="135"/>
      <c r="AU236" s="135"/>
      <c r="AV236" s="135"/>
      <c r="AW236" s="135"/>
      <c r="AX236" s="135"/>
      <c r="AY236" s="135"/>
      <c r="AZ236" s="135"/>
      <c r="BA236" s="135"/>
      <c r="BB236" s="135"/>
      <c r="BC236" s="135"/>
      <c r="BD236" s="135"/>
      <c r="BE236" s="135"/>
      <c r="BF236" s="135"/>
      <c r="BG236" s="135"/>
      <c r="BH236" s="135"/>
      <c r="BI236" s="135"/>
      <c r="BJ236" s="135"/>
      <c r="BK236" s="135"/>
      <c r="BL236" s="135"/>
      <c r="BM236" s="135"/>
      <c r="BN236" s="135"/>
      <c r="BO236" s="135"/>
      <c r="BP236" s="135"/>
      <c r="BQ236" s="135"/>
      <c r="BR236" s="135"/>
      <c r="BS236" s="135"/>
      <c r="BT236" s="135"/>
      <c r="BU236" s="135"/>
      <c r="BV236" s="135"/>
      <c r="BW236" s="135"/>
      <c r="BX236" s="135"/>
      <c r="BY236" s="135"/>
      <c r="BZ236" s="135"/>
      <c r="CA236" s="135"/>
      <c r="CB236" s="135"/>
      <c r="CC236" s="135"/>
      <c r="CD236" s="135"/>
      <c r="CE236" s="135"/>
      <c r="CF236" s="135"/>
      <c r="CG236" s="135"/>
      <c r="CH236" s="135"/>
      <c r="CI236" s="135"/>
      <c r="CJ236" s="135"/>
      <c r="CK236" s="135"/>
      <c r="CL236" s="135"/>
      <c r="CM236" s="135"/>
      <c r="CN236" s="135"/>
      <c r="CO236" s="135"/>
      <c r="CP236" s="135"/>
      <c r="CQ236" s="135"/>
      <c r="CR236" s="135"/>
      <c r="CS236" s="135"/>
      <c r="CT236" s="135"/>
      <c r="CU236" s="135"/>
      <c r="CV236" s="135"/>
      <c r="CW236" s="135"/>
      <c r="CX236" s="135"/>
      <c r="CY236" s="135"/>
      <c r="CZ236" s="135"/>
      <c r="DA236" s="135"/>
      <c r="DB236" s="135"/>
      <c r="DC236" s="135"/>
      <c r="DD236" s="135"/>
      <c r="DE236" s="135"/>
      <c r="DF236" s="135"/>
      <c r="DG236" s="135"/>
      <c r="DH236" s="135"/>
      <c r="DI236" s="135"/>
      <c r="DJ236" s="135"/>
      <c r="DK236" s="135"/>
      <c r="DL236" s="135"/>
      <c r="DM236" s="135"/>
      <c r="DN236" s="135"/>
      <c r="DO236" s="135"/>
      <c r="DP236" s="135"/>
      <c r="DQ236" s="135"/>
      <c r="DR236" s="135"/>
      <c r="DS236" s="135"/>
      <c r="DT236" s="135"/>
      <c r="DU236" s="135"/>
      <c r="DV236" s="135"/>
      <c r="DW236" s="135"/>
      <c r="DX236" s="135"/>
      <c r="DY236" s="135"/>
      <c r="DZ236" s="135"/>
      <c r="EA236" s="135"/>
      <c r="EB236" s="135"/>
      <c r="EC236" s="135"/>
      <c r="ED236" s="135"/>
      <c r="EE236" s="135"/>
      <c r="EF236" s="135"/>
      <c r="EG236" s="135"/>
      <c r="EH236" s="135"/>
      <c r="EI236" s="135"/>
      <c r="EJ236" s="135"/>
      <c r="EK236" s="135"/>
      <c r="EL236" s="135"/>
      <c r="EM236" s="135"/>
      <c r="EN236" s="135"/>
      <c r="EO236" s="135"/>
      <c r="EP236" s="135"/>
      <c r="EQ236" s="135"/>
      <c r="ER236" s="135"/>
      <c r="ES236" s="135"/>
      <c r="ET236" s="135"/>
      <c r="EU236" s="135"/>
      <c r="EV236" s="135"/>
      <c r="EW236" s="135"/>
      <c r="EX236" s="135"/>
      <c r="EY236" s="135"/>
      <c r="EZ236" s="135"/>
      <c r="FA236" s="135"/>
      <c r="FB236" s="135"/>
    </row>
    <row r="237" spans="4:158" hidden="1" x14ac:dyDescent="0.25"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  <c r="W237" s="135"/>
      <c r="X237" s="135"/>
      <c r="Y237" s="135"/>
      <c r="Z237" s="135"/>
      <c r="AA237" s="135"/>
      <c r="AB237" s="135"/>
      <c r="AC237" s="135"/>
      <c r="AD237" s="135"/>
      <c r="AE237" s="135"/>
      <c r="AF237" s="135"/>
      <c r="AG237" s="135"/>
      <c r="AH237" s="135"/>
      <c r="AI237" s="135"/>
      <c r="AJ237" s="135"/>
      <c r="AK237" s="135"/>
      <c r="AL237" s="135"/>
      <c r="AM237" s="135"/>
      <c r="AN237" s="135"/>
      <c r="AO237" s="135"/>
      <c r="AP237" s="135"/>
      <c r="AQ237" s="135"/>
      <c r="AR237" s="135"/>
      <c r="AS237" s="135"/>
      <c r="AT237" s="135"/>
      <c r="AU237" s="135"/>
      <c r="AV237" s="135"/>
      <c r="AW237" s="135"/>
      <c r="AX237" s="135"/>
      <c r="AY237" s="135"/>
      <c r="AZ237" s="135"/>
      <c r="BA237" s="135"/>
      <c r="BB237" s="135"/>
      <c r="BC237" s="135"/>
      <c r="BD237" s="135"/>
      <c r="BE237" s="135"/>
      <c r="BF237" s="135"/>
      <c r="BG237" s="135"/>
      <c r="BH237" s="135"/>
      <c r="BI237" s="135"/>
      <c r="BJ237" s="135"/>
      <c r="BK237" s="135"/>
      <c r="BL237" s="135"/>
      <c r="BM237" s="135"/>
      <c r="BN237" s="135"/>
      <c r="BO237" s="135"/>
      <c r="BP237" s="135"/>
      <c r="BQ237" s="135"/>
      <c r="BR237" s="135"/>
      <c r="BS237" s="135"/>
      <c r="BT237" s="135"/>
      <c r="BU237" s="135"/>
      <c r="BV237" s="135"/>
      <c r="BW237" s="135"/>
      <c r="BX237" s="135"/>
      <c r="BY237" s="135"/>
      <c r="BZ237" s="135"/>
      <c r="CA237" s="135"/>
      <c r="CB237" s="135"/>
      <c r="CC237" s="135"/>
      <c r="CD237" s="135"/>
      <c r="CE237" s="135"/>
      <c r="CF237" s="135"/>
      <c r="CG237" s="135"/>
      <c r="CH237" s="135"/>
      <c r="CI237" s="135"/>
      <c r="CJ237" s="135"/>
      <c r="CK237" s="135"/>
      <c r="CL237" s="135"/>
      <c r="CM237" s="135"/>
      <c r="CN237" s="135"/>
      <c r="CO237" s="135"/>
      <c r="CP237" s="135"/>
      <c r="CQ237" s="135"/>
      <c r="CR237" s="135"/>
      <c r="CS237" s="135"/>
      <c r="CT237" s="135"/>
      <c r="CU237" s="135"/>
      <c r="CV237" s="135"/>
      <c r="CW237" s="135"/>
      <c r="CX237" s="135"/>
      <c r="CY237" s="135"/>
      <c r="CZ237" s="135"/>
      <c r="DA237" s="135"/>
      <c r="DB237" s="135"/>
      <c r="DC237" s="135"/>
      <c r="DD237" s="135"/>
      <c r="DE237" s="135"/>
      <c r="DF237" s="135"/>
      <c r="DG237" s="135"/>
      <c r="DH237" s="135"/>
      <c r="DI237" s="135"/>
      <c r="DJ237" s="135"/>
      <c r="DK237" s="135"/>
      <c r="DL237" s="135"/>
      <c r="DM237" s="135"/>
      <c r="DN237" s="135"/>
      <c r="DO237" s="135"/>
      <c r="DP237" s="135"/>
      <c r="DQ237" s="135"/>
      <c r="DR237" s="135"/>
      <c r="DS237" s="135"/>
      <c r="DT237" s="135"/>
      <c r="DU237" s="135"/>
      <c r="DV237" s="135"/>
      <c r="DW237" s="135"/>
      <c r="DX237" s="135"/>
      <c r="DY237" s="135"/>
      <c r="DZ237" s="135"/>
      <c r="EA237" s="135"/>
      <c r="EB237" s="135"/>
      <c r="EC237" s="135"/>
      <c r="ED237" s="135"/>
      <c r="EE237" s="135"/>
      <c r="EF237" s="135"/>
      <c r="EG237" s="135"/>
      <c r="EH237" s="135"/>
      <c r="EI237" s="135"/>
      <c r="EJ237" s="135"/>
      <c r="EK237" s="135"/>
      <c r="EL237" s="135"/>
      <c r="EM237" s="135"/>
      <c r="EN237" s="135"/>
      <c r="EO237" s="135"/>
      <c r="EP237" s="135"/>
      <c r="EQ237" s="135"/>
      <c r="ER237" s="135"/>
      <c r="ES237" s="135"/>
      <c r="ET237" s="135"/>
      <c r="EU237" s="135"/>
      <c r="EV237" s="135"/>
      <c r="EW237" s="135"/>
      <c r="EX237" s="135"/>
      <c r="EY237" s="135"/>
      <c r="EZ237" s="135"/>
      <c r="FA237" s="135"/>
      <c r="FB237" s="135"/>
    </row>
    <row r="238" spans="4:158" hidden="1" x14ac:dyDescent="0.25"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/>
      <c r="AB238" s="135"/>
      <c r="AC238" s="135"/>
      <c r="AD238" s="135"/>
      <c r="AE238" s="135"/>
      <c r="AF238" s="135"/>
      <c r="AG238" s="135"/>
      <c r="AH238" s="135"/>
      <c r="AI238" s="135"/>
      <c r="AJ238" s="135"/>
      <c r="AK238" s="135"/>
      <c r="AL238" s="135"/>
      <c r="AM238" s="135"/>
      <c r="AN238" s="135"/>
      <c r="AO238" s="135"/>
      <c r="AP238" s="135"/>
      <c r="AQ238" s="135"/>
      <c r="AR238" s="135"/>
      <c r="AS238" s="135"/>
      <c r="AT238" s="135"/>
      <c r="AU238" s="135"/>
      <c r="AV238" s="135"/>
      <c r="AW238" s="135"/>
      <c r="AX238" s="135"/>
      <c r="AY238" s="135"/>
      <c r="AZ238" s="135"/>
      <c r="BA238" s="135"/>
      <c r="BB238" s="135"/>
      <c r="BC238" s="135"/>
      <c r="BD238" s="135"/>
      <c r="BE238" s="135"/>
      <c r="BF238" s="135"/>
      <c r="BG238" s="135"/>
      <c r="BH238" s="135"/>
      <c r="BI238" s="135"/>
      <c r="BJ238" s="135"/>
      <c r="BK238" s="135"/>
      <c r="BL238" s="135"/>
      <c r="BM238" s="135"/>
      <c r="BN238" s="135"/>
      <c r="BO238" s="135"/>
      <c r="BP238" s="135"/>
      <c r="BQ238" s="135"/>
      <c r="BR238" s="135"/>
      <c r="BS238" s="135"/>
      <c r="BT238" s="135"/>
      <c r="BU238" s="135"/>
      <c r="BV238" s="135"/>
      <c r="BW238" s="135"/>
      <c r="BX238" s="135"/>
      <c r="BY238" s="135"/>
      <c r="BZ238" s="135"/>
      <c r="CA238" s="135"/>
      <c r="CB238" s="135"/>
      <c r="CC238" s="135"/>
      <c r="CD238" s="135"/>
      <c r="CE238" s="135"/>
      <c r="CF238" s="135"/>
      <c r="CG238" s="135"/>
      <c r="CH238" s="135"/>
      <c r="CI238" s="135"/>
      <c r="CJ238" s="135"/>
      <c r="CK238" s="135"/>
      <c r="CL238" s="135"/>
      <c r="CM238" s="135"/>
      <c r="CN238" s="135"/>
      <c r="CO238" s="135"/>
      <c r="CP238" s="135"/>
      <c r="CQ238" s="135"/>
      <c r="CR238" s="135"/>
      <c r="CS238" s="135"/>
      <c r="CT238" s="135"/>
      <c r="CU238" s="135"/>
      <c r="CV238" s="135"/>
      <c r="CW238" s="135"/>
      <c r="CX238" s="135"/>
      <c r="CY238" s="135"/>
      <c r="CZ238" s="135"/>
      <c r="DA238" s="135"/>
      <c r="DB238" s="135"/>
      <c r="DC238" s="135"/>
      <c r="DD238" s="135"/>
      <c r="DE238" s="135"/>
      <c r="DF238" s="135"/>
      <c r="DG238" s="135"/>
      <c r="DH238" s="135"/>
      <c r="DI238" s="135"/>
      <c r="DJ238" s="135"/>
      <c r="DK238" s="135"/>
      <c r="DL238" s="135"/>
      <c r="DM238" s="135"/>
      <c r="DN238" s="135"/>
      <c r="DO238" s="135"/>
      <c r="DP238" s="135"/>
      <c r="DQ238" s="135"/>
      <c r="DR238" s="135"/>
      <c r="DS238" s="135"/>
      <c r="DT238" s="135"/>
      <c r="DU238" s="135"/>
      <c r="DV238" s="135"/>
      <c r="DW238" s="135"/>
      <c r="DX238" s="135"/>
      <c r="DY238" s="135"/>
      <c r="DZ238" s="135"/>
      <c r="EA238" s="135"/>
      <c r="EB238" s="135"/>
      <c r="EC238" s="135"/>
      <c r="ED238" s="135"/>
      <c r="EE238" s="135"/>
      <c r="EF238" s="135"/>
      <c r="EG238" s="135"/>
      <c r="EH238" s="135"/>
      <c r="EI238" s="135"/>
      <c r="EJ238" s="135"/>
      <c r="EK238" s="135"/>
      <c r="EL238" s="135"/>
      <c r="EM238" s="135"/>
      <c r="EN238" s="135"/>
      <c r="EO238" s="135"/>
      <c r="EP238" s="135"/>
      <c r="EQ238" s="135"/>
      <c r="ER238" s="135"/>
      <c r="ES238" s="135"/>
      <c r="ET238" s="135"/>
      <c r="EU238" s="135"/>
      <c r="EV238" s="135"/>
      <c r="EW238" s="135"/>
      <c r="EX238" s="135"/>
      <c r="EY238" s="135"/>
      <c r="EZ238" s="135"/>
      <c r="FA238" s="135"/>
      <c r="FB238" s="135"/>
    </row>
    <row r="239" spans="4:158" hidden="1" x14ac:dyDescent="0.25"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  <c r="Y239" s="135"/>
      <c r="Z239" s="135"/>
      <c r="AA239" s="135"/>
      <c r="AB239" s="135"/>
      <c r="AC239" s="135"/>
      <c r="AD239" s="135"/>
      <c r="AE239" s="135"/>
      <c r="AF239" s="135"/>
      <c r="AG239" s="135"/>
      <c r="AH239" s="135"/>
      <c r="AI239" s="135"/>
      <c r="AJ239" s="135"/>
      <c r="AK239" s="135"/>
      <c r="AL239" s="135"/>
      <c r="AM239" s="135"/>
      <c r="AN239" s="135"/>
      <c r="AO239" s="135"/>
      <c r="AP239" s="135"/>
      <c r="AQ239" s="135"/>
      <c r="AR239" s="135"/>
      <c r="AS239" s="135"/>
      <c r="AT239" s="135"/>
      <c r="AU239" s="135"/>
      <c r="AV239" s="135"/>
      <c r="AW239" s="135"/>
      <c r="AX239" s="135"/>
      <c r="AY239" s="135"/>
      <c r="AZ239" s="135"/>
      <c r="BA239" s="135"/>
      <c r="BB239" s="135"/>
      <c r="BC239" s="135"/>
      <c r="BD239" s="135"/>
      <c r="BE239" s="135"/>
      <c r="BF239" s="135"/>
      <c r="BG239" s="135"/>
      <c r="BH239" s="135"/>
      <c r="BI239" s="135"/>
      <c r="BJ239" s="135"/>
      <c r="BK239" s="135"/>
      <c r="BL239" s="135"/>
      <c r="BM239" s="135"/>
      <c r="BN239" s="135"/>
      <c r="BO239" s="135"/>
      <c r="BP239" s="135"/>
      <c r="BQ239" s="135"/>
      <c r="BR239" s="135"/>
      <c r="BS239" s="135"/>
      <c r="BT239" s="135"/>
      <c r="BU239" s="135"/>
      <c r="BV239" s="135"/>
      <c r="BW239" s="135"/>
      <c r="BX239" s="135"/>
      <c r="BY239" s="135"/>
      <c r="BZ239" s="135"/>
      <c r="CA239" s="135"/>
      <c r="CB239" s="135"/>
      <c r="CC239" s="135"/>
      <c r="CD239" s="135"/>
      <c r="CE239" s="135"/>
      <c r="CF239" s="135"/>
      <c r="CG239" s="135"/>
      <c r="CH239" s="135"/>
      <c r="CI239" s="135"/>
      <c r="CJ239" s="135"/>
      <c r="CK239" s="135"/>
      <c r="CL239" s="135"/>
      <c r="CM239" s="135"/>
      <c r="CN239" s="135"/>
      <c r="CO239" s="135"/>
      <c r="CP239" s="135"/>
      <c r="CQ239" s="135"/>
      <c r="CR239" s="135"/>
      <c r="CS239" s="135"/>
      <c r="CT239" s="135"/>
      <c r="CU239" s="135"/>
      <c r="CV239" s="135"/>
      <c r="CW239" s="135"/>
      <c r="CX239" s="135"/>
      <c r="CY239" s="135"/>
      <c r="CZ239" s="135"/>
      <c r="DA239" s="135"/>
      <c r="DB239" s="135"/>
      <c r="DC239" s="135"/>
      <c r="DD239" s="135"/>
      <c r="DE239" s="135"/>
      <c r="DF239" s="135"/>
      <c r="DG239" s="135"/>
      <c r="DH239" s="135"/>
      <c r="DI239" s="135"/>
      <c r="DJ239" s="135"/>
      <c r="DK239" s="135"/>
      <c r="DL239" s="135"/>
      <c r="DM239" s="135"/>
      <c r="DN239" s="135"/>
      <c r="DO239" s="135"/>
      <c r="DP239" s="135"/>
      <c r="DQ239" s="135"/>
      <c r="DR239" s="135"/>
      <c r="DS239" s="135"/>
      <c r="DT239" s="135"/>
      <c r="DU239" s="135"/>
      <c r="DV239" s="135"/>
      <c r="DW239" s="135"/>
      <c r="DX239" s="135"/>
      <c r="DY239" s="135"/>
      <c r="DZ239" s="135"/>
      <c r="EA239" s="135"/>
      <c r="EB239" s="135"/>
      <c r="EC239" s="135"/>
      <c r="ED239" s="135"/>
      <c r="EE239" s="135"/>
      <c r="EF239" s="135"/>
      <c r="EG239" s="135"/>
      <c r="EH239" s="135"/>
      <c r="EI239" s="135"/>
      <c r="EJ239" s="135"/>
      <c r="EK239" s="135"/>
      <c r="EL239" s="135"/>
      <c r="EM239" s="135"/>
      <c r="EN239" s="135"/>
      <c r="EO239" s="135"/>
      <c r="EP239" s="135"/>
      <c r="EQ239" s="135"/>
      <c r="ER239" s="135"/>
      <c r="ES239" s="135"/>
      <c r="ET239" s="135"/>
      <c r="EU239" s="135"/>
      <c r="EV239" s="135"/>
      <c r="EW239" s="135"/>
      <c r="EX239" s="135"/>
      <c r="EY239" s="135"/>
      <c r="EZ239" s="135"/>
      <c r="FA239" s="135"/>
      <c r="FB239" s="135"/>
    </row>
    <row r="240" spans="4:158" hidden="1" x14ac:dyDescent="0.25"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  <c r="Y240" s="135"/>
      <c r="Z240" s="135"/>
      <c r="AA240" s="135"/>
      <c r="AB240" s="135"/>
      <c r="AC240" s="135"/>
      <c r="AD240" s="135"/>
      <c r="AE240" s="135"/>
      <c r="AF240" s="135"/>
      <c r="AG240" s="135"/>
      <c r="AH240" s="135"/>
      <c r="AI240" s="135"/>
      <c r="AJ240" s="135"/>
      <c r="AK240" s="135"/>
      <c r="AL240" s="135"/>
      <c r="AM240" s="135"/>
      <c r="AN240" s="135"/>
      <c r="AO240" s="135"/>
      <c r="AP240" s="135"/>
      <c r="AQ240" s="135"/>
      <c r="AR240" s="135"/>
      <c r="AS240" s="135"/>
      <c r="AT240" s="135"/>
      <c r="AU240" s="135"/>
      <c r="AV240" s="135"/>
      <c r="AW240" s="135"/>
      <c r="AX240" s="135"/>
      <c r="AY240" s="135"/>
      <c r="AZ240" s="135"/>
      <c r="BA240" s="135"/>
      <c r="BB240" s="135"/>
      <c r="BC240" s="135"/>
      <c r="BD240" s="135"/>
      <c r="BE240" s="135"/>
      <c r="BF240" s="135"/>
      <c r="BG240" s="135"/>
      <c r="BH240" s="135"/>
      <c r="BI240" s="135"/>
      <c r="BJ240" s="135"/>
      <c r="BK240" s="135"/>
      <c r="BL240" s="135"/>
      <c r="BM240" s="135"/>
      <c r="BN240" s="135"/>
      <c r="BO240" s="135"/>
      <c r="BP240" s="135"/>
      <c r="BQ240" s="135"/>
      <c r="BR240" s="135"/>
      <c r="BS240" s="135"/>
      <c r="BT240" s="135"/>
      <c r="BU240" s="135"/>
      <c r="BV240" s="135"/>
      <c r="BW240" s="135"/>
      <c r="BX240" s="135"/>
      <c r="BY240" s="135"/>
      <c r="BZ240" s="135"/>
      <c r="CA240" s="135"/>
      <c r="CB240" s="135"/>
      <c r="CC240" s="135"/>
      <c r="CD240" s="135"/>
      <c r="CE240" s="135"/>
      <c r="CF240" s="135"/>
      <c r="CG240" s="135"/>
      <c r="CH240" s="135"/>
      <c r="CI240" s="135"/>
      <c r="CJ240" s="135"/>
      <c r="CK240" s="135"/>
      <c r="CL240" s="135"/>
      <c r="CM240" s="135"/>
      <c r="CN240" s="135"/>
      <c r="CO240" s="135"/>
      <c r="CP240" s="135"/>
      <c r="CQ240" s="135"/>
      <c r="CR240" s="135"/>
      <c r="CS240" s="135"/>
      <c r="CT240" s="135"/>
      <c r="CU240" s="135"/>
      <c r="CV240" s="135"/>
      <c r="CW240" s="135"/>
      <c r="CX240" s="135"/>
      <c r="CY240" s="135"/>
      <c r="CZ240" s="135"/>
      <c r="DA240" s="135"/>
      <c r="DB240" s="135"/>
      <c r="DC240" s="135"/>
      <c r="DD240" s="135"/>
      <c r="DE240" s="135"/>
      <c r="DF240" s="135"/>
      <c r="DG240" s="135"/>
      <c r="DH240" s="135"/>
      <c r="DI240" s="135"/>
      <c r="DJ240" s="135"/>
      <c r="DK240" s="135"/>
      <c r="DL240" s="135"/>
      <c r="DM240" s="135"/>
      <c r="DN240" s="135"/>
      <c r="DO240" s="135"/>
      <c r="DP240" s="135"/>
      <c r="DQ240" s="135"/>
      <c r="DR240" s="135"/>
      <c r="DS240" s="135"/>
      <c r="DT240" s="135"/>
      <c r="DU240" s="135"/>
      <c r="DV240" s="135"/>
      <c r="DW240" s="135"/>
      <c r="DX240" s="135"/>
      <c r="DY240" s="135"/>
      <c r="DZ240" s="135"/>
      <c r="EA240" s="135"/>
      <c r="EB240" s="135"/>
      <c r="EC240" s="135"/>
      <c r="ED240" s="135"/>
      <c r="EE240" s="135"/>
      <c r="EF240" s="135"/>
      <c r="EG240" s="135"/>
      <c r="EH240" s="135"/>
      <c r="EI240" s="135"/>
      <c r="EJ240" s="135"/>
      <c r="EK240" s="135"/>
      <c r="EL240" s="135"/>
      <c r="EM240" s="135"/>
      <c r="EN240" s="135"/>
      <c r="EO240" s="135"/>
      <c r="EP240" s="135"/>
      <c r="EQ240" s="135"/>
      <c r="ER240" s="135"/>
      <c r="ES240" s="135"/>
      <c r="ET240" s="135"/>
      <c r="EU240" s="135"/>
      <c r="EV240" s="135"/>
      <c r="EW240" s="135"/>
      <c r="EX240" s="135"/>
      <c r="EY240" s="135"/>
      <c r="EZ240" s="135"/>
      <c r="FA240" s="135"/>
      <c r="FB240" s="135"/>
    </row>
    <row r="241" spans="4:158" hidden="1" x14ac:dyDescent="0.25"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/>
      <c r="AB241" s="135"/>
      <c r="AC241" s="135"/>
      <c r="AD241" s="135"/>
      <c r="AE241" s="135"/>
      <c r="AF241" s="135"/>
      <c r="AG241" s="135"/>
      <c r="AH241" s="135"/>
      <c r="AI241" s="135"/>
      <c r="AJ241" s="135"/>
      <c r="AK241" s="135"/>
      <c r="AL241" s="135"/>
      <c r="AM241" s="135"/>
      <c r="AN241" s="135"/>
      <c r="AO241" s="135"/>
      <c r="AP241" s="135"/>
      <c r="AQ241" s="135"/>
      <c r="AR241" s="135"/>
      <c r="AS241" s="135"/>
      <c r="AT241" s="135"/>
      <c r="AU241" s="135"/>
      <c r="AV241" s="135"/>
      <c r="AW241" s="135"/>
      <c r="AX241" s="135"/>
      <c r="AY241" s="135"/>
      <c r="AZ241" s="135"/>
      <c r="BA241" s="135"/>
      <c r="BB241" s="135"/>
      <c r="BC241" s="135"/>
      <c r="BD241" s="135"/>
      <c r="BE241" s="135"/>
      <c r="BF241" s="135"/>
      <c r="BG241" s="135"/>
      <c r="BH241" s="135"/>
      <c r="BI241" s="135"/>
      <c r="BJ241" s="135"/>
      <c r="BK241" s="135"/>
      <c r="BL241" s="135"/>
      <c r="BM241" s="135"/>
      <c r="BN241" s="135"/>
      <c r="BO241" s="135"/>
      <c r="BP241" s="135"/>
      <c r="BQ241" s="135"/>
      <c r="BR241" s="135"/>
      <c r="BS241" s="135"/>
      <c r="BT241" s="135"/>
      <c r="BU241" s="135"/>
      <c r="BV241" s="135"/>
      <c r="BW241" s="135"/>
      <c r="BX241" s="135"/>
      <c r="BY241" s="135"/>
      <c r="BZ241" s="135"/>
      <c r="CA241" s="135"/>
      <c r="CB241" s="135"/>
      <c r="CC241" s="135"/>
      <c r="CD241" s="135"/>
      <c r="CE241" s="135"/>
      <c r="CF241" s="135"/>
      <c r="CG241" s="135"/>
      <c r="CH241" s="135"/>
      <c r="CI241" s="135"/>
      <c r="CJ241" s="135"/>
      <c r="CK241" s="135"/>
      <c r="CL241" s="135"/>
      <c r="CM241" s="135"/>
      <c r="CN241" s="135"/>
      <c r="CO241" s="135"/>
      <c r="CP241" s="135"/>
      <c r="CQ241" s="135"/>
      <c r="CR241" s="135"/>
      <c r="CS241" s="135"/>
      <c r="CT241" s="135"/>
      <c r="CU241" s="135"/>
      <c r="CV241" s="135"/>
      <c r="CW241" s="135"/>
      <c r="CX241" s="135"/>
      <c r="CY241" s="135"/>
      <c r="CZ241" s="135"/>
      <c r="DA241" s="135"/>
      <c r="DB241" s="135"/>
      <c r="DC241" s="135"/>
      <c r="DD241" s="135"/>
      <c r="DE241" s="135"/>
      <c r="DF241" s="135"/>
      <c r="DG241" s="135"/>
      <c r="DH241" s="135"/>
      <c r="DI241" s="135"/>
      <c r="DJ241" s="135"/>
      <c r="DK241" s="135"/>
      <c r="DL241" s="135"/>
      <c r="DM241" s="135"/>
      <c r="DN241" s="135"/>
      <c r="DO241" s="135"/>
      <c r="DP241" s="135"/>
      <c r="DQ241" s="135"/>
      <c r="DR241" s="135"/>
      <c r="DS241" s="135"/>
      <c r="DT241" s="135"/>
      <c r="DU241" s="135"/>
      <c r="DV241" s="135"/>
      <c r="DW241" s="135"/>
      <c r="DX241" s="135"/>
      <c r="DY241" s="135"/>
      <c r="DZ241" s="135"/>
      <c r="EA241" s="135"/>
      <c r="EB241" s="135"/>
      <c r="EC241" s="135"/>
      <c r="ED241" s="135"/>
      <c r="EE241" s="135"/>
      <c r="EF241" s="135"/>
      <c r="EG241" s="135"/>
      <c r="EH241" s="135"/>
      <c r="EI241" s="135"/>
      <c r="EJ241" s="135"/>
      <c r="EK241" s="135"/>
      <c r="EL241" s="135"/>
      <c r="EM241" s="135"/>
      <c r="EN241" s="135"/>
      <c r="EO241" s="135"/>
      <c r="EP241" s="135"/>
      <c r="EQ241" s="135"/>
      <c r="ER241" s="135"/>
      <c r="ES241" s="135"/>
      <c r="ET241" s="135"/>
      <c r="EU241" s="135"/>
      <c r="EV241" s="135"/>
      <c r="EW241" s="135"/>
      <c r="EX241" s="135"/>
      <c r="EY241" s="135"/>
      <c r="EZ241" s="135"/>
      <c r="FA241" s="135"/>
      <c r="FB241" s="135"/>
    </row>
    <row r="242" spans="4:158" hidden="1" x14ac:dyDescent="0.25"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  <c r="Y242" s="135"/>
      <c r="Z242" s="135"/>
      <c r="AA242" s="135"/>
      <c r="AB242" s="135"/>
      <c r="AC242" s="135"/>
      <c r="AD242" s="135"/>
      <c r="AE242" s="135"/>
      <c r="AF242" s="135"/>
      <c r="AG242" s="135"/>
      <c r="AH242" s="135"/>
      <c r="AI242" s="135"/>
      <c r="AJ242" s="135"/>
      <c r="AK242" s="135"/>
      <c r="AL242" s="135"/>
      <c r="AM242" s="135"/>
      <c r="AN242" s="135"/>
      <c r="AO242" s="135"/>
      <c r="AP242" s="135"/>
      <c r="AQ242" s="135"/>
      <c r="AR242" s="135"/>
      <c r="AS242" s="135"/>
      <c r="AT242" s="135"/>
      <c r="AU242" s="135"/>
      <c r="AV242" s="135"/>
      <c r="AW242" s="135"/>
      <c r="AX242" s="135"/>
      <c r="AY242" s="135"/>
      <c r="AZ242" s="135"/>
      <c r="BA242" s="135"/>
      <c r="BB242" s="135"/>
      <c r="BC242" s="135"/>
      <c r="BD242" s="135"/>
      <c r="BE242" s="135"/>
      <c r="BF242" s="135"/>
      <c r="BG242" s="135"/>
      <c r="BH242" s="135"/>
      <c r="BI242" s="135"/>
      <c r="BJ242" s="135"/>
      <c r="BK242" s="135"/>
      <c r="BL242" s="135"/>
      <c r="BM242" s="135"/>
      <c r="BN242" s="135"/>
      <c r="BO242" s="135"/>
      <c r="BP242" s="135"/>
      <c r="BQ242" s="135"/>
      <c r="BR242" s="135"/>
      <c r="BS242" s="135"/>
      <c r="BT242" s="135"/>
      <c r="BU242" s="135"/>
      <c r="BV242" s="135"/>
      <c r="BW242" s="135"/>
      <c r="BX242" s="135"/>
      <c r="BY242" s="135"/>
      <c r="BZ242" s="135"/>
      <c r="CA242" s="135"/>
      <c r="CB242" s="135"/>
      <c r="CC242" s="135"/>
      <c r="CD242" s="135"/>
      <c r="CE242" s="135"/>
      <c r="CF242" s="135"/>
      <c r="CG242" s="135"/>
      <c r="CH242" s="135"/>
      <c r="CI242" s="135"/>
      <c r="CJ242" s="135"/>
      <c r="CK242" s="135"/>
      <c r="CL242" s="135"/>
      <c r="CM242" s="135"/>
      <c r="CN242" s="135"/>
      <c r="CO242" s="135"/>
      <c r="CP242" s="135"/>
      <c r="CQ242" s="135"/>
      <c r="CR242" s="135"/>
      <c r="CS242" s="135"/>
      <c r="CT242" s="135"/>
      <c r="CU242" s="135"/>
      <c r="CV242" s="135"/>
      <c r="CW242" s="135"/>
      <c r="CX242" s="135"/>
      <c r="CY242" s="135"/>
      <c r="CZ242" s="135"/>
      <c r="DA242" s="135"/>
      <c r="DB242" s="135"/>
      <c r="DC242" s="135"/>
      <c r="DD242" s="135"/>
      <c r="DE242" s="135"/>
      <c r="DF242" s="135"/>
      <c r="DG242" s="135"/>
      <c r="DH242" s="135"/>
      <c r="DI242" s="135"/>
      <c r="DJ242" s="135"/>
      <c r="DK242" s="135"/>
      <c r="DL242" s="135"/>
      <c r="DM242" s="135"/>
      <c r="DN242" s="135"/>
      <c r="DO242" s="135"/>
      <c r="DP242" s="135"/>
      <c r="DQ242" s="135"/>
      <c r="DR242" s="135"/>
      <c r="DS242" s="135"/>
      <c r="DT242" s="135"/>
      <c r="DU242" s="135"/>
      <c r="DV242" s="135"/>
      <c r="DW242" s="135"/>
      <c r="DX242" s="135"/>
      <c r="DY242" s="135"/>
      <c r="DZ242" s="135"/>
      <c r="EA242" s="135"/>
      <c r="EB242" s="135"/>
      <c r="EC242" s="135"/>
      <c r="ED242" s="135"/>
      <c r="EE242" s="135"/>
      <c r="EF242" s="135"/>
      <c r="EG242" s="135"/>
      <c r="EH242" s="135"/>
      <c r="EI242" s="135"/>
      <c r="EJ242" s="135"/>
      <c r="EK242" s="135"/>
      <c r="EL242" s="135"/>
      <c r="EM242" s="135"/>
      <c r="EN242" s="135"/>
      <c r="EO242" s="135"/>
      <c r="EP242" s="135"/>
      <c r="EQ242" s="135"/>
      <c r="ER242" s="135"/>
      <c r="ES242" s="135"/>
      <c r="ET242" s="135"/>
      <c r="EU242" s="135"/>
      <c r="EV242" s="135"/>
      <c r="EW242" s="135"/>
      <c r="EX242" s="135"/>
      <c r="EY242" s="135"/>
      <c r="EZ242" s="135"/>
      <c r="FA242" s="135"/>
      <c r="FB242" s="135"/>
    </row>
    <row r="243" spans="4:158" hidden="1" x14ac:dyDescent="0.25"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  <c r="Y243" s="135"/>
      <c r="Z243" s="135"/>
      <c r="AA243" s="135"/>
      <c r="AB243" s="135"/>
      <c r="AC243" s="135"/>
      <c r="AD243" s="135"/>
      <c r="AE243" s="135"/>
      <c r="AF243" s="135"/>
      <c r="AG243" s="135"/>
      <c r="AH243" s="135"/>
      <c r="AI243" s="135"/>
      <c r="AJ243" s="135"/>
      <c r="AK243" s="135"/>
      <c r="AL243" s="135"/>
      <c r="AM243" s="135"/>
      <c r="AN243" s="135"/>
      <c r="AO243" s="135"/>
      <c r="AP243" s="135"/>
      <c r="AQ243" s="135"/>
      <c r="AR243" s="135"/>
      <c r="AS243" s="135"/>
      <c r="AT243" s="135"/>
      <c r="AU243" s="135"/>
      <c r="AV243" s="135"/>
      <c r="AW243" s="135"/>
      <c r="AX243" s="135"/>
      <c r="AY243" s="135"/>
      <c r="AZ243" s="135"/>
      <c r="BA243" s="135"/>
      <c r="BB243" s="135"/>
      <c r="BC243" s="135"/>
      <c r="BD243" s="135"/>
      <c r="BE243" s="135"/>
      <c r="BF243" s="135"/>
      <c r="BG243" s="135"/>
      <c r="BH243" s="135"/>
      <c r="BI243" s="135"/>
      <c r="BJ243" s="135"/>
      <c r="BK243" s="135"/>
      <c r="BL243" s="135"/>
      <c r="BM243" s="135"/>
      <c r="BN243" s="135"/>
      <c r="BO243" s="135"/>
      <c r="BP243" s="135"/>
      <c r="BQ243" s="135"/>
      <c r="BR243" s="135"/>
      <c r="BS243" s="135"/>
      <c r="BT243" s="135"/>
      <c r="BU243" s="135"/>
      <c r="BV243" s="135"/>
      <c r="BW243" s="135"/>
      <c r="BX243" s="135"/>
      <c r="BY243" s="135"/>
      <c r="BZ243" s="135"/>
      <c r="CA243" s="135"/>
      <c r="CB243" s="135"/>
      <c r="CC243" s="135"/>
      <c r="CD243" s="135"/>
      <c r="CE243" s="135"/>
      <c r="CF243" s="135"/>
      <c r="CG243" s="135"/>
      <c r="CH243" s="135"/>
      <c r="CI243" s="135"/>
      <c r="CJ243" s="135"/>
      <c r="CK243" s="135"/>
      <c r="CL243" s="135"/>
      <c r="CM243" s="135"/>
      <c r="CN243" s="135"/>
      <c r="CO243" s="135"/>
      <c r="CP243" s="135"/>
      <c r="CQ243" s="135"/>
      <c r="CR243" s="135"/>
      <c r="CS243" s="135"/>
      <c r="CT243" s="135"/>
      <c r="CU243" s="135"/>
      <c r="CV243" s="135"/>
      <c r="CW243" s="135"/>
      <c r="CX243" s="135"/>
      <c r="CY243" s="135"/>
      <c r="CZ243" s="135"/>
      <c r="DA243" s="135"/>
      <c r="DB243" s="135"/>
      <c r="DC243" s="135"/>
      <c r="DD243" s="135"/>
      <c r="DE243" s="135"/>
      <c r="DF243" s="135"/>
      <c r="DG243" s="135"/>
      <c r="DH243" s="135"/>
      <c r="DI243" s="135"/>
      <c r="DJ243" s="135"/>
      <c r="DK243" s="135"/>
      <c r="DL243" s="135"/>
      <c r="DM243" s="135"/>
      <c r="DN243" s="135"/>
      <c r="DO243" s="135"/>
      <c r="DP243" s="135"/>
      <c r="DQ243" s="135"/>
      <c r="DR243" s="135"/>
      <c r="DS243" s="135"/>
      <c r="DT243" s="135"/>
      <c r="DU243" s="135"/>
      <c r="DV243" s="135"/>
      <c r="DW243" s="135"/>
      <c r="DX243" s="135"/>
      <c r="DY243" s="135"/>
      <c r="DZ243" s="135"/>
      <c r="EA243" s="135"/>
      <c r="EB243" s="135"/>
      <c r="EC243" s="135"/>
      <c r="ED243" s="135"/>
      <c r="EE243" s="135"/>
      <c r="EF243" s="135"/>
      <c r="EG243" s="135"/>
      <c r="EH243" s="135"/>
      <c r="EI243" s="135"/>
      <c r="EJ243" s="135"/>
      <c r="EK243" s="135"/>
      <c r="EL243" s="135"/>
      <c r="EM243" s="135"/>
      <c r="EN243" s="135"/>
      <c r="EO243" s="135"/>
      <c r="EP243" s="135"/>
      <c r="EQ243" s="135"/>
      <c r="ER243" s="135"/>
      <c r="ES243" s="135"/>
      <c r="ET243" s="135"/>
      <c r="EU243" s="135"/>
      <c r="EV243" s="135"/>
      <c r="EW243" s="135"/>
      <c r="EX243" s="135"/>
      <c r="EY243" s="135"/>
      <c r="EZ243" s="135"/>
      <c r="FA243" s="135"/>
      <c r="FB243" s="135"/>
    </row>
    <row r="244" spans="4:158" hidden="1" x14ac:dyDescent="0.25"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135"/>
      <c r="AA244" s="135"/>
      <c r="AB244" s="135"/>
      <c r="AC244" s="135"/>
      <c r="AD244" s="135"/>
      <c r="AE244" s="135"/>
      <c r="AF244" s="135"/>
      <c r="AG244" s="135"/>
      <c r="AH244" s="135"/>
      <c r="AI244" s="135"/>
      <c r="AJ244" s="135"/>
      <c r="AK244" s="135"/>
      <c r="AL244" s="135"/>
      <c r="AM244" s="135"/>
      <c r="AN244" s="135"/>
      <c r="AO244" s="135"/>
      <c r="AP244" s="135"/>
      <c r="AQ244" s="135"/>
      <c r="AR244" s="135"/>
      <c r="AS244" s="135"/>
      <c r="AT244" s="135"/>
      <c r="AU244" s="135"/>
      <c r="AV244" s="135"/>
      <c r="AW244" s="135"/>
      <c r="AX244" s="135"/>
      <c r="AY244" s="135"/>
      <c r="AZ244" s="135"/>
      <c r="BA244" s="135"/>
      <c r="BB244" s="135"/>
      <c r="BC244" s="135"/>
      <c r="BD244" s="135"/>
      <c r="BE244" s="135"/>
      <c r="BF244" s="135"/>
      <c r="BG244" s="135"/>
      <c r="BH244" s="135"/>
      <c r="BI244" s="135"/>
      <c r="BJ244" s="135"/>
      <c r="BK244" s="135"/>
      <c r="BL244" s="135"/>
      <c r="BM244" s="135"/>
      <c r="BN244" s="135"/>
      <c r="BO244" s="135"/>
      <c r="BP244" s="135"/>
      <c r="BQ244" s="135"/>
      <c r="BR244" s="135"/>
      <c r="BS244" s="135"/>
      <c r="BT244" s="135"/>
      <c r="BU244" s="135"/>
      <c r="BV244" s="135"/>
      <c r="BW244" s="135"/>
      <c r="BX244" s="135"/>
      <c r="BY244" s="135"/>
      <c r="BZ244" s="135"/>
      <c r="CA244" s="135"/>
      <c r="CB244" s="135"/>
      <c r="CC244" s="135"/>
      <c r="CD244" s="135"/>
      <c r="CE244" s="135"/>
      <c r="CF244" s="135"/>
      <c r="CG244" s="135"/>
      <c r="CH244" s="135"/>
      <c r="CI244" s="135"/>
      <c r="CJ244" s="135"/>
      <c r="CK244" s="135"/>
      <c r="CL244" s="135"/>
      <c r="CM244" s="135"/>
      <c r="CN244" s="135"/>
      <c r="CO244" s="135"/>
      <c r="CP244" s="135"/>
      <c r="CQ244" s="135"/>
      <c r="CR244" s="135"/>
      <c r="CS244" s="135"/>
      <c r="CT244" s="135"/>
      <c r="CU244" s="135"/>
      <c r="CV244" s="135"/>
      <c r="CW244" s="135"/>
      <c r="CX244" s="135"/>
      <c r="CY244" s="135"/>
      <c r="CZ244" s="135"/>
      <c r="DA244" s="135"/>
      <c r="DB244" s="135"/>
      <c r="DC244" s="135"/>
      <c r="DD244" s="135"/>
      <c r="DE244" s="135"/>
      <c r="DF244" s="135"/>
      <c r="DG244" s="135"/>
      <c r="DH244" s="135"/>
      <c r="DI244" s="135"/>
      <c r="DJ244" s="135"/>
      <c r="DK244" s="135"/>
      <c r="DL244" s="135"/>
      <c r="DM244" s="135"/>
      <c r="DN244" s="135"/>
      <c r="DO244" s="135"/>
      <c r="DP244" s="135"/>
      <c r="DQ244" s="135"/>
      <c r="DR244" s="135"/>
      <c r="DS244" s="135"/>
      <c r="DT244" s="135"/>
      <c r="DU244" s="135"/>
      <c r="DV244" s="135"/>
      <c r="DW244" s="135"/>
      <c r="DX244" s="135"/>
      <c r="DY244" s="135"/>
      <c r="DZ244" s="135"/>
      <c r="EA244" s="135"/>
      <c r="EB244" s="135"/>
      <c r="EC244" s="135"/>
      <c r="ED244" s="135"/>
      <c r="EE244" s="135"/>
      <c r="EF244" s="135"/>
      <c r="EG244" s="135"/>
      <c r="EH244" s="135"/>
      <c r="EI244" s="135"/>
      <c r="EJ244" s="135"/>
      <c r="EK244" s="135"/>
      <c r="EL244" s="135"/>
      <c r="EM244" s="135"/>
      <c r="EN244" s="135"/>
      <c r="EO244" s="135"/>
      <c r="EP244" s="135"/>
      <c r="EQ244" s="135"/>
      <c r="ER244" s="135"/>
      <c r="ES244" s="135"/>
      <c r="ET244" s="135"/>
      <c r="EU244" s="135"/>
      <c r="EV244" s="135"/>
      <c r="EW244" s="135"/>
      <c r="EX244" s="135"/>
      <c r="EY244" s="135"/>
      <c r="EZ244" s="135"/>
      <c r="FA244" s="135"/>
      <c r="FB244" s="135"/>
    </row>
    <row r="245" spans="4:158" hidden="1" x14ac:dyDescent="0.25"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  <c r="Y245" s="135"/>
      <c r="Z245" s="135"/>
      <c r="AA245" s="135"/>
      <c r="AB245" s="135"/>
      <c r="AC245" s="135"/>
      <c r="AD245" s="135"/>
      <c r="AE245" s="135"/>
      <c r="AF245" s="135"/>
      <c r="AG245" s="135"/>
      <c r="AH245" s="135"/>
      <c r="AI245" s="135"/>
      <c r="AJ245" s="135"/>
      <c r="AK245" s="135"/>
      <c r="AL245" s="135"/>
      <c r="AM245" s="135"/>
      <c r="AN245" s="135"/>
      <c r="AO245" s="135"/>
      <c r="AP245" s="135"/>
      <c r="AQ245" s="135"/>
      <c r="AR245" s="135"/>
      <c r="AS245" s="135"/>
      <c r="AT245" s="135"/>
      <c r="AU245" s="135"/>
      <c r="AV245" s="135"/>
      <c r="AW245" s="135"/>
      <c r="AX245" s="135"/>
      <c r="AY245" s="135"/>
      <c r="AZ245" s="135"/>
      <c r="BA245" s="135"/>
      <c r="BB245" s="135"/>
      <c r="BC245" s="135"/>
      <c r="BD245" s="135"/>
      <c r="BE245" s="135"/>
      <c r="BF245" s="135"/>
      <c r="BG245" s="135"/>
      <c r="BH245" s="135"/>
      <c r="BI245" s="135"/>
      <c r="BJ245" s="135"/>
      <c r="BK245" s="135"/>
      <c r="BL245" s="135"/>
      <c r="BM245" s="135"/>
      <c r="BN245" s="135"/>
      <c r="BO245" s="135"/>
      <c r="BP245" s="135"/>
      <c r="BQ245" s="135"/>
      <c r="BR245" s="135"/>
      <c r="BS245" s="135"/>
      <c r="BT245" s="135"/>
      <c r="BU245" s="135"/>
      <c r="BV245" s="135"/>
      <c r="BW245" s="135"/>
      <c r="BX245" s="135"/>
      <c r="BY245" s="135"/>
      <c r="BZ245" s="135"/>
      <c r="CA245" s="135"/>
      <c r="CB245" s="135"/>
      <c r="CC245" s="135"/>
      <c r="CD245" s="135"/>
      <c r="CE245" s="135"/>
      <c r="CF245" s="135"/>
      <c r="CG245" s="135"/>
      <c r="CH245" s="135"/>
      <c r="CI245" s="135"/>
      <c r="CJ245" s="135"/>
      <c r="CK245" s="135"/>
      <c r="CL245" s="135"/>
      <c r="CM245" s="135"/>
      <c r="CN245" s="135"/>
      <c r="CO245" s="135"/>
      <c r="CP245" s="135"/>
      <c r="CQ245" s="135"/>
      <c r="CR245" s="135"/>
      <c r="CS245" s="135"/>
      <c r="CT245" s="135"/>
      <c r="CU245" s="135"/>
      <c r="CV245" s="135"/>
      <c r="CW245" s="135"/>
      <c r="CX245" s="135"/>
      <c r="CY245" s="135"/>
      <c r="CZ245" s="135"/>
      <c r="DA245" s="135"/>
      <c r="DB245" s="135"/>
      <c r="DC245" s="135"/>
      <c r="DD245" s="135"/>
      <c r="DE245" s="135"/>
      <c r="DF245" s="135"/>
      <c r="DG245" s="135"/>
      <c r="DH245" s="135"/>
      <c r="DI245" s="135"/>
      <c r="DJ245" s="135"/>
      <c r="DK245" s="135"/>
      <c r="DL245" s="135"/>
      <c r="DM245" s="135"/>
      <c r="DN245" s="135"/>
      <c r="DO245" s="135"/>
      <c r="DP245" s="135"/>
      <c r="DQ245" s="135"/>
      <c r="DR245" s="135"/>
      <c r="DS245" s="135"/>
      <c r="DT245" s="135"/>
      <c r="DU245" s="135"/>
      <c r="DV245" s="135"/>
      <c r="DW245" s="135"/>
      <c r="DX245" s="135"/>
      <c r="DY245" s="135"/>
      <c r="DZ245" s="135"/>
      <c r="EA245" s="135"/>
      <c r="EB245" s="135"/>
      <c r="EC245" s="135"/>
      <c r="ED245" s="135"/>
      <c r="EE245" s="135"/>
      <c r="EF245" s="135"/>
      <c r="EG245" s="135"/>
      <c r="EH245" s="135"/>
      <c r="EI245" s="135"/>
      <c r="EJ245" s="135"/>
      <c r="EK245" s="135"/>
      <c r="EL245" s="135"/>
      <c r="EM245" s="135"/>
      <c r="EN245" s="135"/>
      <c r="EO245" s="135"/>
      <c r="EP245" s="135"/>
      <c r="EQ245" s="135"/>
      <c r="ER245" s="135"/>
      <c r="ES245" s="135"/>
      <c r="ET245" s="135"/>
      <c r="EU245" s="135"/>
      <c r="EV245" s="135"/>
      <c r="EW245" s="135"/>
      <c r="EX245" s="135"/>
      <c r="EY245" s="135"/>
      <c r="EZ245" s="135"/>
      <c r="FA245" s="135"/>
      <c r="FB245" s="135"/>
    </row>
    <row r="246" spans="4:158" hidden="1" x14ac:dyDescent="0.25"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  <c r="Y246" s="135"/>
      <c r="Z246" s="135"/>
      <c r="AA246" s="135"/>
      <c r="AB246" s="135"/>
      <c r="AC246" s="135"/>
      <c r="AD246" s="135"/>
      <c r="AE246" s="135"/>
      <c r="AF246" s="135"/>
      <c r="AG246" s="135"/>
      <c r="AH246" s="135"/>
      <c r="AI246" s="135"/>
      <c r="AJ246" s="135"/>
      <c r="AK246" s="135"/>
      <c r="AL246" s="135"/>
      <c r="AM246" s="135"/>
      <c r="AN246" s="135"/>
      <c r="AO246" s="135"/>
      <c r="AP246" s="135"/>
      <c r="AQ246" s="135"/>
      <c r="AR246" s="135"/>
      <c r="AS246" s="135"/>
      <c r="AT246" s="135"/>
      <c r="AU246" s="135"/>
      <c r="AV246" s="135"/>
      <c r="AW246" s="135"/>
      <c r="AX246" s="135"/>
      <c r="AY246" s="135"/>
      <c r="AZ246" s="135"/>
      <c r="BA246" s="135"/>
      <c r="BB246" s="135"/>
      <c r="BC246" s="135"/>
      <c r="BD246" s="135"/>
      <c r="BE246" s="135"/>
      <c r="BF246" s="135"/>
      <c r="BG246" s="135"/>
      <c r="BH246" s="135"/>
      <c r="BI246" s="135"/>
      <c r="BJ246" s="135"/>
      <c r="BK246" s="135"/>
      <c r="BL246" s="135"/>
      <c r="BM246" s="135"/>
      <c r="BN246" s="135"/>
      <c r="BO246" s="135"/>
      <c r="BP246" s="135"/>
      <c r="BQ246" s="135"/>
      <c r="BR246" s="135"/>
      <c r="BS246" s="135"/>
      <c r="BT246" s="135"/>
      <c r="BU246" s="135"/>
      <c r="BV246" s="135"/>
      <c r="BW246" s="135"/>
      <c r="BX246" s="135"/>
      <c r="BY246" s="135"/>
      <c r="BZ246" s="135"/>
      <c r="CA246" s="135"/>
      <c r="CB246" s="135"/>
      <c r="CC246" s="135"/>
      <c r="CD246" s="135"/>
      <c r="CE246" s="135"/>
      <c r="CF246" s="135"/>
      <c r="CG246" s="135"/>
      <c r="CH246" s="135"/>
      <c r="CI246" s="135"/>
      <c r="CJ246" s="135"/>
      <c r="CK246" s="135"/>
      <c r="CL246" s="135"/>
      <c r="CM246" s="135"/>
      <c r="CN246" s="135"/>
      <c r="CO246" s="135"/>
      <c r="CP246" s="135"/>
      <c r="CQ246" s="135"/>
      <c r="CR246" s="135"/>
      <c r="CS246" s="135"/>
      <c r="CT246" s="135"/>
      <c r="CU246" s="135"/>
      <c r="CV246" s="135"/>
      <c r="CW246" s="135"/>
      <c r="CX246" s="135"/>
      <c r="CY246" s="135"/>
      <c r="CZ246" s="135"/>
      <c r="DA246" s="135"/>
      <c r="DB246" s="135"/>
      <c r="DC246" s="135"/>
      <c r="DD246" s="135"/>
      <c r="DE246" s="135"/>
      <c r="DF246" s="135"/>
      <c r="DG246" s="135"/>
      <c r="DH246" s="135"/>
      <c r="DI246" s="135"/>
      <c r="DJ246" s="135"/>
      <c r="DK246" s="135"/>
      <c r="DL246" s="135"/>
      <c r="DM246" s="135"/>
      <c r="DN246" s="135"/>
      <c r="DO246" s="135"/>
      <c r="DP246" s="135"/>
      <c r="DQ246" s="135"/>
      <c r="DR246" s="135"/>
      <c r="DS246" s="135"/>
      <c r="DT246" s="135"/>
      <c r="DU246" s="135"/>
      <c r="DV246" s="135"/>
      <c r="DW246" s="135"/>
      <c r="DX246" s="135"/>
      <c r="DY246" s="135"/>
      <c r="DZ246" s="135"/>
      <c r="EA246" s="135"/>
      <c r="EB246" s="135"/>
      <c r="EC246" s="135"/>
      <c r="ED246" s="135"/>
      <c r="EE246" s="135"/>
      <c r="EF246" s="135"/>
      <c r="EG246" s="135"/>
      <c r="EH246" s="135"/>
      <c r="EI246" s="135"/>
      <c r="EJ246" s="135"/>
      <c r="EK246" s="135"/>
      <c r="EL246" s="135"/>
      <c r="EM246" s="135"/>
      <c r="EN246" s="135"/>
      <c r="EO246" s="135"/>
      <c r="EP246" s="135"/>
      <c r="EQ246" s="135"/>
      <c r="ER246" s="135"/>
      <c r="ES246" s="135"/>
      <c r="ET246" s="135"/>
      <c r="EU246" s="135"/>
      <c r="EV246" s="135"/>
      <c r="EW246" s="135"/>
      <c r="EX246" s="135"/>
      <c r="EY246" s="135"/>
      <c r="EZ246" s="135"/>
      <c r="FA246" s="135"/>
      <c r="FB246" s="135"/>
    </row>
    <row r="247" spans="4:158" hidden="1" x14ac:dyDescent="0.25"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  <c r="Y247" s="135"/>
      <c r="Z247" s="135"/>
      <c r="AA247" s="135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5"/>
      <c r="AN247" s="135"/>
      <c r="AO247" s="135"/>
      <c r="AP247" s="135"/>
      <c r="AQ247" s="135"/>
      <c r="AR247" s="135"/>
      <c r="AS247" s="135"/>
      <c r="AT247" s="135"/>
      <c r="AU247" s="135"/>
      <c r="AV247" s="135"/>
      <c r="AW247" s="135"/>
      <c r="AX247" s="135"/>
      <c r="AY247" s="135"/>
      <c r="AZ247" s="135"/>
      <c r="BA247" s="135"/>
      <c r="BB247" s="135"/>
      <c r="BC247" s="135"/>
      <c r="BD247" s="135"/>
      <c r="BE247" s="135"/>
      <c r="BF247" s="135"/>
      <c r="BG247" s="135"/>
      <c r="BH247" s="135"/>
      <c r="BI247" s="135"/>
      <c r="BJ247" s="135"/>
      <c r="BK247" s="135"/>
      <c r="BL247" s="135"/>
      <c r="BM247" s="135"/>
      <c r="BN247" s="135"/>
      <c r="BO247" s="135"/>
      <c r="BP247" s="135"/>
      <c r="BQ247" s="135"/>
      <c r="BR247" s="135"/>
      <c r="BS247" s="135"/>
      <c r="BT247" s="135"/>
      <c r="BU247" s="135"/>
      <c r="BV247" s="135"/>
      <c r="BW247" s="135"/>
      <c r="BX247" s="135"/>
      <c r="BY247" s="135"/>
      <c r="BZ247" s="135"/>
      <c r="CA247" s="135"/>
      <c r="CB247" s="135"/>
      <c r="CC247" s="135"/>
      <c r="CD247" s="135"/>
      <c r="CE247" s="135"/>
      <c r="CF247" s="135"/>
      <c r="CG247" s="135"/>
      <c r="CH247" s="135"/>
      <c r="CI247" s="135"/>
      <c r="CJ247" s="135"/>
      <c r="CK247" s="135"/>
      <c r="CL247" s="135"/>
      <c r="CM247" s="135"/>
      <c r="CN247" s="135"/>
      <c r="CO247" s="135"/>
      <c r="CP247" s="135"/>
      <c r="CQ247" s="135"/>
      <c r="CR247" s="135"/>
      <c r="CS247" s="135"/>
      <c r="CT247" s="135"/>
      <c r="CU247" s="135"/>
      <c r="CV247" s="135"/>
      <c r="CW247" s="135"/>
      <c r="CX247" s="135"/>
      <c r="CY247" s="135"/>
      <c r="CZ247" s="135"/>
      <c r="DA247" s="135"/>
      <c r="DB247" s="135"/>
      <c r="DC247" s="135"/>
      <c r="DD247" s="135"/>
      <c r="DE247" s="135"/>
      <c r="DF247" s="135"/>
      <c r="DG247" s="135"/>
      <c r="DH247" s="135"/>
      <c r="DI247" s="135"/>
      <c r="DJ247" s="135"/>
      <c r="DK247" s="135"/>
      <c r="DL247" s="135"/>
      <c r="DM247" s="135"/>
      <c r="DN247" s="135"/>
      <c r="DO247" s="135"/>
      <c r="DP247" s="135"/>
      <c r="DQ247" s="135"/>
      <c r="DR247" s="135"/>
      <c r="DS247" s="135"/>
      <c r="DT247" s="135"/>
      <c r="DU247" s="135"/>
      <c r="DV247" s="135"/>
      <c r="DW247" s="135"/>
      <c r="DX247" s="135"/>
      <c r="DY247" s="135"/>
      <c r="DZ247" s="135"/>
      <c r="EA247" s="135"/>
      <c r="EB247" s="135"/>
      <c r="EC247" s="135"/>
      <c r="ED247" s="135"/>
      <c r="EE247" s="135"/>
      <c r="EF247" s="135"/>
      <c r="EG247" s="135"/>
      <c r="EH247" s="135"/>
      <c r="EI247" s="135"/>
      <c r="EJ247" s="135"/>
      <c r="EK247" s="135"/>
      <c r="EL247" s="135"/>
      <c r="EM247" s="135"/>
      <c r="EN247" s="135"/>
      <c r="EO247" s="135"/>
      <c r="EP247" s="135"/>
      <c r="EQ247" s="135"/>
      <c r="ER247" s="135"/>
      <c r="ES247" s="135"/>
      <c r="ET247" s="135"/>
      <c r="EU247" s="135"/>
      <c r="EV247" s="135"/>
      <c r="EW247" s="135"/>
      <c r="EX247" s="135"/>
      <c r="EY247" s="135"/>
      <c r="EZ247" s="135"/>
      <c r="FA247" s="135"/>
      <c r="FB247" s="135"/>
    </row>
    <row r="248" spans="4:158" hidden="1" x14ac:dyDescent="0.25"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  <c r="W248" s="135"/>
      <c r="X248" s="135"/>
      <c r="Y248" s="135"/>
      <c r="Z248" s="135"/>
      <c r="AA248" s="135"/>
      <c r="AB248" s="135"/>
      <c r="AC248" s="135"/>
      <c r="AD248" s="135"/>
      <c r="AE248" s="135"/>
      <c r="AF248" s="135"/>
      <c r="AG248" s="135"/>
      <c r="AH248" s="135"/>
      <c r="AI248" s="135"/>
      <c r="AJ248" s="135"/>
      <c r="AK248" s="135"/>
      <c r="AL248" s="135"/>
      <c r="AM248" s="135"/>
      <c r="AN248" s="135"/>
      <c r="AO248" s="135"/>
      <c r="AP248" s="135"/>
      <c r="AQ248" s="135"/>
      <c r="AR248" s="135"/>
      <c r="AS248" s="135"/>
      <c r="AT248" s="135"/>
      <c r="AU248" s="135"/>
      <c r="AV248" s="135"/>
      <c r="AW248" s="135"/>
      <c r="AX248" s="135"/>
      <c r="AY248" s="135"/>
      <c r="AZ248" s="135"/>
      <c r="BA248" s="135"/>
      <c r="BB248" s="135"/>
      <c r="BC248" s="135"/>
      <c r="BD248" s="135"/>
      <c r="BE248" s="135"/>
      <c r="BF248" s="135"/>
      <c r="BG248" s="135"/>
      <c r="BH248" s="135"/>
      <c r="BI248" s="135"/>
      <c r="BJ248" s="135"/>
      <c r="BK248" s="135"/>
      <c r="BL248" s="135"/>
      <c r="BM248" s="135"/>
      <c r="BN248" s="135"/>
      <c r="BO248" s="135"/>
      <c r="BP248" s="135"/>
      <c r="BQ248" s="135"/>
      <c r="BR248" s="135"/>
      <c r="BS248" s="135"/>
      <c r="BT248" s="135"/>
      <c r="BU248" s="135"/>
      <c r="BV248" s="135"/>
      <c r="BW248" s="135"/>
      <c r="BX248" s="135"/>
      <c r="BY248" s="135"/>
      <c r="BZ248" s="135"/>
      <c r="CA248" s="135"/>
      <c r="CB248" s="135"/>
      <c r="CC248" s="135"/>
      <c r="CD248" s="135"/>
      <c r="CE248" s="135"/>
      <c r="CF248" s="135"/>
      <c r="CG248" s="135"/>
      <c r="CH248" s="135"/>
      <c r="CI248" s="135"/>
      <c r="CJ248" s="135"/>
      <c r="CK248" s="135"/>
      <c r="CL248" s="135"/>
      <c r="CM248" s="135"/>
      <c r="CN248" s="135"/>
      <c r="CO248" s="135"/>
      <c r="CP248" s="135"/>
      <c r="CQ248" s="135"/>
      <c r="CR248" s="135"/>
      <c r="CS248" s="135"/>
      <c r="CT248" s="135"/>
      <c r="CU248" s="135"/>
      <c r="CV248" s="135"/>
      <c r="CW248" s="135"/>
      <c r="CX248" s="135"/>
      <c r="CY248" s="135"/>
      <c r="CZ248" s="135"/>
      <c r="DA248" s="135"/>
      <c r="DB248" s="135"/>
      <c r="DC248" s="135"/>
      <c r="DD248" s="135"/>
      <c r="DE248" s="135"/>
      <c r="DF248" s="135"/>
      <c r="DG248" s="135"/>
      <c r="DH248" s="135"/>
      <c r="DI248" s="135"/>
      <c r="DJ248" s="135"/>
      <c r="DK248" s="135"/>
      <c r="DL248" s="135"/>
      <c r="DM248" s="135"/>
      <c r="DN248" s="135"/>
      <c r="DO248" s="135"/>
      <c r="DP248" s="135"/>
      <c r="DQ248" s="135"/>
      <c r="DR248" s="135"/>
      <c r="DS248" s="135"/>
      <c r="DT248" s="135"/>
      <c r="DU248" s="135"/>
      <c r="DV248" s="135"/>
      <c r="DW248" s="135"/>
      <c r="DX248" s="135"/>
      <c r="DY248" s="135"/>
      <c r="DZ248" s="135"/>
      <c r="EA248" s="135"/>
      <c r="EB248" s="135"/>
      <c r="EC248" s="135"/>
      <c r="ED248" s="135"/>
      <c r="EE248" s="135"/>
      <c r="EF248" s="135"/>
      <c r="EG248" s="135"/>
      <c r="EH248" s="135"/>
      <c r="EI248" s="135"/>
      <c r="EJ248" s="135"/>
      <c r="EK248" s="135"/>
      <c r="EL248" s="135"/>
      <c r="EM248" s="135"/>
      <c r="EN248" s="135"/>
      <c r="EO248" s="135"/>
      <c r="EP248" s="135"/>
      <c r="EQ248" s="135"/>
      <c r="ER248" s="135"/>
      <c r="ES248" s="135"/>
      <c r="ET248" s="135"/>
      <c r="EU248" s="135"/>
      <c r="EV248" s="135"/>
      <c r="EW248" s="135"/>
      <c r="EX248" s="135"/>
      <c r="EY248" s="135"/>
      <c r="EZ248" s="135"/>
      <c r="FA248" s="135"/>
      <c r="FB248" s="135"/>
    </row>
    <row r="249" spans="4:158" hidden="1" x14ac:dyDescent="0.25"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5"/>
      <c r="X249" s="135"/>
      <c r="Y249" s="135"/>
      <c r="Z249" s="135"/>
      <c r="AA249" s="135"/>
      <c r="AB249" s="135"/>
      <c r="AC249" s="135"/>
      <c r="AD249" s="135"/>
      <c r="AE249" s="135"/>
      <c r="AF249" s="135"/>
      <c r="AG249" s="135"/>
      <c r="AH249" s="135"/>
      <c r="AI249" s="135"/>
      <c r="AJ249" s="135"/>
      <c r="AK249" s="135"/>
      <c r="AL249" s="135"/>
      <c r="AM249" s="135"/>
      <c r="AN249" s="135"/>
      <c r="AO249" s="135"/>
      <c r="AP249" s="135"/>
      <c r="AQ249" s="135"/>
      <c r="AR249" s="135"/>
      <c r="AS249" s="135"/>
      <c r="AT249" s="135"/>
      <c r="AU249" s="135"/>
      <c r="AV249" s="135"/>
      <c r="AW249" s="135"/>
      <c r="AX249" s="135"/>
      <c r="AY249" s="135"/>
      <c r="AZ249" s="135"/>
      <c r="BA249" s="135"/>
      <c r="BB249" s="135"/>
      <c r="BC249" s="135"/>
      <c r="BD249" s="135"/>
      <c r="BE249" s="135"/>
      <c r="BF249" s="135"/>
      <c r="BG249" s="135"/>
      <c r="BH249" s="135"/>
      <c r="BI249" s="135"/>
      <c r="BJ249" s="135"/>
      <c r="BK249" s="135"/>
      <c r="BL249" s="135"/>
      <c r="BM249" s="135"/>
      <c r="BN249" s="135"/>
      <c r="BO249" s="135"/>
      <c r="BP249" s="135"/>
      <c r="BQ249" s="135"/>
      <c r="BR249" s="135"/>
      <c r="BS249" s="135"/>
      <c r="BT249" s="135"/>
      <c r="BU249" s="135"/>
      <c r="BV249" s="135"/>
      <c r="BW249" s="135"/>
      <c r="BX249" s="135"/>
      <c r="BY249" s="135"/>
      <c r="BZ249" s="135"/>
      <c r="CA249" s="135"/>
      <c r="CB249" s="135"/>
      <c r="CC249" s="135"/>
      <c r="CD249" s="135"/>
      <c r="CE249" s="135"/>
      <c r="CF249" s="135"/>
      <c r="CG249" s="135"/>
      <c r="CH249" s="135"/>
      <c r="CI249" s="135"/>
      <c r="CJ249" s="135"/>
      <c r="CK249" s="135"/>
      <c r="CL249" s="135"/>
      <c r="CM249" s="135"/>
      <c r="CN249" s="135"/>
      <c r="CO249" s="135"/>
      <c r="CP249" s="135"/>
      <c r="CQ249" s="135"/>
      <c r="CR249" s="135"/>
      <c r="CS249" s="135"/>
      <c r="CT249" s="135"/>
      <c r="CU249" s="135"/>
      <c r="CV249" s="135"/>
      <c r="CW249" s="135"/>
      <c r="CX249" s="135"/>
      <c r="CY249" s="135"/>
      <c r="CZ249" s="135"/>
      <c r="DA249" s="135"/>
      <c r="DB249" s="135"/>
      <c r="DC249" s="135"/>
      <c r="DD249" s="135"/>
      <c r="DE249" s="135"/>
      <c r="DF249" s="135"/>
      <c r="DG249" s="135"/>
      <c r="DH249" s="135"/>
      <c r="DI249" s="135"/>
      <c r="DJ249" s="135"/>
      <c r="DK249" s="135"/>
      <c r="DL249" s="135"/>
      <c r="DM249" s="135"/>
      <c r="DN249" s="135"/>
      <c r="DO249" s="135"/>
      <c r="DP249" s="135"/>
      <c r="DQ249" s="135"/>
      <c r="DR249" s="135"/>
      <c r="DS249" s="135"/>
      <c r="DT249" s="135"/>
      <c r="DU249" s="135"/>
      <c r="DV249" s="135"/>
      <c r="DW249" s="135"/>
      <c r="DX249" s="135"/>
      <c r="DY249" s="135"/>
      <c r="DZ249" s="135"/>
      <c r="EA249" s="135"/>
      <c r="EB249" s="135"/>
      <c r="EC249" s="135"/>
      <c r="ED249" s="135"/>
      <c r="EE249" s="135"/>
      <c r="EF249" s="135"/>
      <c r="EG249" s="135"/>
      <c r="EH249" s="135"/>
      <c r="EI249" s="135"/>
      <c r="EJ249" s="135"/>
      <c r="EK249" s="135"/>
      <c r="EL249" s="135"/>
      <c r="EM249" s="135"/>
      <c r="EN249" s="135"/>
      <c r="EO249" s="135"/>
      <c r="EP249" s="135"/>
      <c r="EQ249" s="135"/>
      <c r="ER249" s="135"/>
      <c r="ES249" s="135"/>
      <c r="ET249" s="135"/>
      <c r="EU249" s="135"/>
      <c r="EV249" s="135"/>
      <c r="EW249" s="135"/>
      <c r="EX249" s="135"/>
      <c r="EY249" s="135"/>
      <c r="EZ249" s="135"/>
      <c r="FA249" s="135"/>
      <c r="FB249" s="135"/>
    </row>
    <row r="250" spans="4:158" hidden="1" x14ac:dyDescent="0.25"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5"/>
      <c r="X250" s="135"/>
      <c r="Y250" s="135"/>
      <c r="Z250" s="135"/>
      <c r="AA250" s="135"/>
      <c r="AB250" s="135"/>
      <c r="AC250" s="135"/>
      <c r="AD250" s="135"/>
      <c r="AE250" s="135"/>
      <c r="AF250" s="135"/>
      <c r="AG250" s="135"/>
      <c r="AH250" s="135"/>
      <c r="AI250" s="135"/>
      <c r="AJ250" s="135"/>
      <c r="AK250" s="135"/>
      <c r="AL250" s="135"/>
      <c r="AM250" s="135"/>
      <c r="AN250" s="135"/>
      <c r="AO250" s="135"/>
      <c r="AP250" s="135"/>
      <c r="AQ250" s="135"/>
      <c r="AR250" s="135"/>
      <c r="AS250" s="135"/>
      <c r="AT250" s="135"/>
      <c r="AU250" s="135"/>
      <c r="AV250" s="135"/>
      <c r="AW250" s="135"/>
      <c r="AX250" s="135"/>
      <c r="AY250" s="135"/>
      <c r="AZ250" s="135"/>
      <c r="BA250" s="135"/>
      <c r="BB250" s="135"/>
      <c r="BC250" s="135"/>
      <c r="BD250" s="135"/>
      <c r="BE250" s="135"/>
      <c r="BF250" s="135"/>
      <c r="BG250" s="135"/>
      <c r="BH250" s="135"/>
      <c r="BI250" s="135"/>
      <c r="BJ250" s="135"/>
      <c r="BK250" s="135"/>
      <c r="BL250" s="135"/>
      <c r="BM250" s="135"/>
      <c r="BN250" s="135"/>
      <c r="BO250" s="135"/>
      <c r="BP250" s="135"/>
      <c r="BQ250" s="135"/>
      <c r="BR250" s="135"/>
      <c r="BS250" s="135"/>
      <c r="BT250" s="135"/>
      <c r="BU250" s="135"/>
      <c r="BV250" s="135"/>
      <c r="BW250" s="135"/>
      <c r="BX250" s="135"/>
      <c r="BY250" s="135"/>
      <c r="BZ250" s="135"/>
      <c r="CA250" s="135"/>
      <c r="CB250" s="135"/>
      <c r="CC250" s="135"/>
      <c r="CD250" s="135"/>
      <c r="CE250" s="135"/>
      <c r="CF250" s="135"/>
      <c r="CG250" s="135"/>
      <c r="CH250" s="135"/>
      <c r="CI250" s="135"/>
      <c r="CJ250" s="135"/>
      <c r="CK250" s="135"/>
      <c r="CL250" s="135"/>
      <c r="CM250" s="135"/>
      <c r="CN250" s="135"/>
      <c r="CO250" s="135"/>
      <c r="CP250" s="135"/>
      <c r="CQ250" s="135"/>
      <c r="CR250" s="135"/>
      <c r="CS250" s="135"/>
      <c r="CT250" s="135"/>
      <c r="CU250" s="135"/>
      <c r="CV250" s="135"/>
      <c r="CW250" s="135"/>
      <c r="CX250" s="135"/>
      <c r="CY250" s="135"/>
      <c r="CZ250" s="135"/>
      <c r="DA250" s="135"/>
      <c r="DB250" s="135"/>
      <c r="DC250" s="135"/>
      <c r="DD250" s="135"/>
      <c r="DE250" s="135"/>
      <c r="DF250" s="135"/>
      <c r="DG250" s="135"/>
      <c r="DH250" s="135"/>
      <c r="DI250" s="135"/>
      <c r="DJ250" s="135"/>
      <c r="DK250" s="135"/>
      <c r="DL250" s="135"/>
      <c r="DM250" s="135"/>
      <c r="DN250" s="135"/>
      <c r="DO250" s="135"/>
      <c r="DP250" s="135"/>
      <c r="DQ250" s="135"/>
      <c r="DR250" s="135"/>
      <c r="DS250" s="135"/>
      <c r="DT250" s="135"/>
      <c r="DU250" s="135"/>
      <c r="DV250" s="135"/>
      <c r="DW250" s="135"/>
      <c r="DX250" s="135"/>
      <c r="DY250" s="135"/>
      <c r="DZ250" s="135"/>
      <c r="EA250" s="135"/>
      <c r="EB250" s="135"/>
      <c r="EC250" s="135"/>
      <c r="ED250" s="135"/>
      <c r="EE250" s="135"/>
      <c r="EF250" s="135"/>
      <c r="EG250" s="135"/>
      <c r="EH250" s="135"/>
      <c r="EI250" s="135"/>
      <c r="EJ250" s="135"/>
      <c r="EK250" s="135"/>
      <c r="EL250" s="135"/>
      <c r="EM250" s="135"/>
      <c r="EN250" s="135"/>
      <c r="EO250" s="135"/>
      <c r="EP250" s="135"/>
      <c r="EQ250" s="135"/>
      <c r="ER250" s="135"/>
      <c r="ES250" s="135"/>
      <c r="ET250" s="135"/>
      <c r="EU250" s="135"/>
      <c r="EV250" s="135"/>
      <c r="EW250" s="135"/>
      <c r="EX250" s="135"/>
      <c r="EY250" s="135"/>
      <c r="EZ250" s="135"/>
      <c r="FA250" s="135"/>
      <c r="FB250" s="135"/>
    </row>
    <row r="251" spans="4:158" hidden="1" x14ac:dyDescent="0.25"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  <c r="W251" s="135"/>
      <c r="X251" s="135"/>
      <c r="Y251" s="135"/>
      <c r="Z251" s="135"/>
      <c r="AA251" s="135"/>
      <c r="AB251" s="135"/>
      <c r="AC251" s="135"/>
      <c r="AD251" s="135"/>
      <c r="AE251" s="135"/>
      <c r="AF251" s="135"/>
      <c r="AG251" s="135"/>
      <c r="AH251" s="135"/>
      <c r="AI251" s="135"/>
      <c r="AJ251" s="135"/>
      <c r="AK251" s="135"/>
      <c r="AL251" s="135"/>
      <c r="AM251" s="135"/>
      <c r="AN251" s="135"/>
      <c r="AO251" s="135"/>
      <c r="AP251" s="135"/>
      <c r="AQ251" s="135"/>
      <c r="AR251" s="135"/>
      <c r="AS251" s="135"/>
      <c r="AT251" s="135"/>
      <c r="AU251" s="135"/>
      <c r="AV251" s="135"/>
      <c r="AW251" s="135"/>
      <c r="AX251" s="135"/>
      <c r="AY251" s="135"/>
      <c r="AZ251" s="135"/>
      <c r="BA251" s="135"/>
      <c r="BB251" s="135"/>
      <c r="BC251" s="135"/>
      <c r="BD251" s="135"/>
      <c r="BE251" s="135"/>
      <c r="BF251" s="135"/>
      <c r="BG251" s="135"/>
      <c r="BH251" s="135"/>
      <c r="BI251" s="135"/>
      <c r="BJ251" s="135"/>
      <c r="BK251" s="135"/>
      <c r="BL251" s="135"/>
      <c r="BM251" s="135"/>
      <c r="BN251" s="135"/>
      <c r="BO251" s="135"/>
      <c r="BP251" s="135"/>
      <c r="BQ251" s="135"/>
      <c r="BR251" s="135"/>
      <c r="BS251" s="135"/>
      <c r="BT251" s="135"/>
      <c r="BU251" s="135"/>
      <c r="BV251" s="135"/>
      <c r="BW251" s="135"/>
      <c r="BX251" s="135"/>
      <c r="BY251" s="135"/>
      <c r="BZ251" s="135"/>
      <c r="CA251" s="135"/>
      <c r="CB251" s="135"/>
      <c r="CC251" s="135"/>
      <c r="CD251" s="135"/>
      <c r="CE251" s="135"/>
      <c r="CF251" s="135"/>
      <c r="CG251" s="135"/>
      <c r="CH251" s="135"/>
      <c r="CI251" s="135"/>
      <c r="CJ251" s="135"/>
      <c r="CK251" s="135"/>
      <c r="CL251" s="135"/>
      <c r="CM251" s="135"/>
      <c r="CN251" s="135"/>
      <c r="CO251" s="135"/>
      <c r="CP251" s="135"/>
      <c r="CQ251" s="135"/>
      <c r="CR251" s="135"/>
      <c r="CS251" s="135"/>
      <c r="CT251" s="135"/>
      <c r="CU251" s="135"/>
      <c r="CV251" s="135"/>
      <c r="CW251" s="135"/>
      <c r="CX251" s="135"/>
      <c r="CY251" s="135"/>
      <c r="CZ251" s="135"/>
      <c r="DA251" s="135"/>
      <c r="DB251" s="135"/>
      <c r="DC251" s="135"/>
      <c r="DD251" s="135"/>
      <c r="DE251" s="135"/>
      <c r="DF251" s="135"/>
      <c r="DG251" s="135"/>
      <c r="DH251" s="135"/>
      <c r="DI251" s="135"/>
      <c r="DJ251" s="135"/>
      <c r="DK251" s="135"/>
      <c r="DL251" s="135"/>
      <c r="DM251" s="135"/>
      <c r="DN251" s="135"/>
      <c r="DO251" s="135"/>
      <c r="DP251" s="135"/>
      <c r="DQ251" s="135"/>
      <c r="DR251" s="135"/>
      <c r="DS251" s="135"/>
      <c r="DT251" s="135"/>
      <c r="DU251" s="135"/>
      <c r="DV251" s="135"/>
      <c r="DW251" s="135"/>
      <c r="DX251" s="135"/>
      <c r="DY251" s="135"/>
      <c r="DZ251" s="135"/>
      <c r="EA251" s="135"/>
      <c r="EB251" s="135"/>
      <c r="EC251" s="135"/>
      <c r="ED251" s="135"/>
      <c r="EE251" s="135"/>
      <c r="EF251" s="135"/>
      <c r="EG251" s="135"/>
      <c r="EH251" s="135"/>
      <c r="EI251" s="135"/>
      <c r="EJ251" s="135"/>
      <c r="EK251" s="135"/>
      <c r="EL251" s="135"/>
      <c r="EM251" s="135"/>
      <c r="EN251" s="135"/>
      <c r="EO251" s="135"/>
      <c r="EP251" s="135"/>
      <c r="EQ251" s="135"/>
      <c r="ER251" s="135"/>
      <c r="ES251" s="135"/>
      <c r="ET251" s="135"/>
      <c r="EU251" s="135"/>
      <c r="EV251" s="135"/>
      <c r="EW251" s="135"/>
      <c r="EX251" s="135"/>
      <c r="EY251" s="135"/>
      <c r="EZ251" s="135"/>
      <c r="FA251" s="135"/>
      <c r="FB251" s="135"/>
    </row>
    <row r="252" spans="4:158" hidden="1" x14ac:dyDescent="0.25"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  <c r="W252" s="135"/>
      <c r="X252" s="135"/>
      <c r="Y252" s="135"/>
      <c r="Z252" s="135"/>
      <c r="AA252" s="135"/>
      <c r="AB252" s="135"/>
      <c r="AC252" s="135"/>
      <c r="AD252" s="135"/>
      <c r="AE252" s="135"/>
      <c r="AF252" s="135"/>
      <c r="AG252" s="135"/>
      <c r="AH252" s="135"/>
      <c r="AI252" s="135"/>
      <c r="AJ252" s="135"/>
      <c r="AK252" s="135"/>
      <c r="AL252" s="135"/>
      <c r="AM252" s="135"/>
      <c r="AN252" s="135"/>
      <c r="AO252" s="135"/>
      <c r="AP252" s="135"/>
      <c r="AQ252" s="135"/>
      <c r="AR252" s="135"/>
      <c r="AS252" s="135"/>
      <c r="AT252" s="135"/>
      <c r="AU252" s="135"/>
      <c r="AV252" s="135"/>
      <c r="AW252" s="135"/>
      <c r="AX252" s="135"/>
      <c r="AY252" s="135"/>
      <c r="AZ252" s="135"/>
      <c r="BA252" s="135"/>
      <c r="BB252" s="135"/>
      <c r="BC252" s="135"/>
      <c r="BD252" s="135"/>
      <c r="BE252" s="135"/>
      <c r="BF252" s="135"/>
      <c r="BG252" s="135"/>
      <c r="BH252" s="135"/>
      <c r="BI252" s="135"/>
      <c r="BJ252" s="135"/>
      <c r="BK252" s="135"/>
      <c r="BL252" s="135"/>
      <c r="BM252" s="135"/>
      <c r="BN252" s="135"/>
      <c r="BO252" s="135"/>
      <c r="BP252" s="135"/>
      <c r="BQ252" s="135"/>
      <c r="BR252" s="135"/>
      <c r="BS252" s="135"/>
      <c r="BT252" s="135"/>
      <c r="BU252" s="135"/>
      <c r="BV252" s="135"/>
      <c r="BW252" s="135"/>
      <c r="BX252" s="135"/>
      <c r="BY252" s="135"/>
      <c r="BZ252" s="135"/>
      <c r="CA252" s="135"/>
      <c r="CB252" s="135"/>
      <c r="CC252" s="135"/>
      <c r="CD252" s="135"/>
      <c r="CE252" s="135"/>
      <c r="CF252" s="135"/>
      <c r="CG252" s="135"/>
      <c r="CH252" s="135"/>
      <c r="CI252" s="135"/>
      <c r="CJ252" s="135"/>
      <c r="CK252" s="135"/>
      <c r="CL252" s="135"/>
      <c r="CM252" s="135"/>
      <c r="CN252" s="135"/>
      <c r="CO252" s="135"/>
      <c r="CP252" s="135"/>
      <c r="CQ252" s="135"/>
      <c r="CR252" s="135"/>
      <c r="CS252" s="135"/>
      <c r="CT252" s="135"/>
      <c r="CU252" s="135"/>
      <c r="CV252" s="135"/>
      <c r="CW252" s="135"/>
      <c r="CX252" s="135"/>
      <c r="CY252" s="135"/>
      <c r="CZ252" s="135"/>
      <c r="DA252" s="135"/>
      <c r="DB252" s="135"/>
      <c r="DC252" s="135"/>
      <c r="DD252" s="135"/>
      <c r="DE252" s="135"/>
      <c r="DF252" s="135"/>
      <c r="DG252" s="135"/>
      <c r="DH252" s="135"/>
      <c r="DI252" s="135"/>
      <c r="DJ252" s="135"/>
      <c r="DK252" s="135"/>
      <c r="DL252" s="135"/>
      <c r="DM252" s="135"/>
      <c r="DN252" s="135"/>
      <c r="DO252" s="135"/>
      <c r="DP252" s="135"/>
      <c r="DQ252" s="135"/>
      <c r="DR252" s="135"/>
      <c r="DS252" s="135"/>
      <c r="DT252" s="135"/>
      <c r="DU252" s="135"/>
      <c r="DV252" s="135"/>
      <c r="DW252" s="135"/>
      <c r="DX252" s="135"/>
      <c r="DY252" s="135"/>
      <c r="DZ252" s="135"/>
      <c r="EA252" s="135"/>
      <c r="EB252" s="135"/>
      <c r="EC252" s="135"/>
      <c r="ED252" s="135"/>
      <c r="EE252" s="135"/>
      <c r="EF252" s="135"/>
      <c r="EG252" s="135"/>
      <c r="EH252" s="135"/>
      <c r="EI252" s="135"/>
      <c r="EJ252" s="135"/>
      <c r="EK252" s="135"/>
      <c r="EL252" s="135"/>
      <c r="EM252" s="135"/>
      <c r="EN252" s="135"/>
      <c r="EO252" s="135"/>
      <c r="EP252" s="135"/>
      <c r="EQ252" s="135"/>
      <c r="ER252" s="135"/>
      <c r="ES252" s="135"/>
      <c r="ET252" s="135"/>
      <c r="EU252" s="135"/>
      <c r="EV252" s="135"/>
      <c r="EW252" s="135"/>
      <c r="EX252" s="135"/>
      <c r="EY252" s="135"/>
      <c r="EZ252" s="135"/>
      <c r="FA252" s="135"/>
      <c r="FB252" s="135"/>
    </row>
    <row r="253" spans="4:158" hidden="1" x14ac:dyDescent="0.25"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  <c r="W253" s="135"/>
      <c r="X253" s="135"/>
      <c r="Y253" s="135"/>
      <c r="Z253" s="135"/>
      <c r="AA253" s="135"/>
      <c r="AB253" s="135"/>
      <c r="AC253" s="135"/>
      <c r="AD253" s="135"/>
      <c r="AE253" s="135"/>
      <c r="AF253" s="135"/>
      <c r="AG253" s="135"/>
      <c r="AH253" s="135"/>
      <c r="AI253" s="135"/>
      <c r="AJ253" s="135"/>
      <c r="AK253" s="135"/>
      <c r="AL253" s="135"/>
      <c r="AM253" s="135"/>
      <c r="AN253" s="135"/>
      <c r="AO253" s="135"/>
      <c r="AP253" s="135"/>
      <c r="AQ253" s="135"/>
      <c r="AR253" s="135"/>
      <c r="AS253" s="135"/>
      <c r="AT253" s="135"/>
      <c r="AU253" s="135"/>
      <c r="AV253" s="135"/>
      <c r="AW253" s="135"/>
      <c r="AX253" s="135"/>
      <c r="AY253" s="135"/>
      <c r="AZ253" s="135"/>
      <c r="BA253" s="135"/>
      <c r="BB253" s="135"/>
      <c r="BC253" s="135"/>
      <c r="BD253" s="135"/>
      <c r="BE253" s="135"/>
      <c r="BF253" s="135"/>
      <c r="BG253" s="135"/>
      <c r="BH253" s="135"/>
      <c r="BI253" s="135"/>
      <c r="BJ253" s="135"/>
      <c r="BK253" s="135"/>
      <c r="BL253" s="135"/>
      <c r="BM253" s="135"/>
      <c r="BN253" s="135"/>
      <c r="BO253" s="135"/>
      <c r="BP253" s="135"/>
      <c r="BQ253" s="135"/>
      <c r="BR253" s="135"/>
      <c r="BS253" s="135"/>
      <c r="BT253" s="135"/>
      <c r="BU253" s="135"/>
      <c r="BV253" s="135"/>
      <c r="BW253" s="135"/>
      <c r="BX253" s="135"/>
      <c r="BY253" s="135"/>
      <c r="BZ253" s="135"/>
      <c r="CA253" s="135"/>
      <c r="CB253" s="135"/>
      <c r="CC253" s="135"/>
      <c r="CD253" s="135"/>
      <c r="CE253" s="135"/>
      <c r="CF253" s="135"/>
      <c r="CG253" s="135"/>
      <c r="CH253" s="135"/>
      <c r="CI253" s="135"/>
      <c r="CJ253" s="135"/>
      <c r="CK253" s="135"/>
      <c r="CL253" s="135"/>
      <c r="CM253" s="135"/>
      <c r="CN253" s="135"/>
      <c r="CO253" s="135"/>
      <c r="CP253" s="135"/>
      <c r="CQ253" s="135"/>
      <c r="CR253" s="135"/>
      <c r="CS253" s="135"/>
      <c r="CT253" s="135"/>
      <c r="CU253" s="135"/>
      <c r="CV253" s="135"/>
      <c r="CW253" s="135"/>
      <c r="CX253" s="135"/>
      <c r="CY253" s="135"/>
      <c r="CZ253" s="135"/>
      <c r="DA253" s="135"/>
      <c r="DB253" s="135"/>
      <c r="DC253" s="135"/>
      <c r="DD253" s="135"/>
      <c r="DE253" s="135"/>
      <c r="DF253" s="135"/>
      <c r="DG253" s="135"/>
      <c r="DH253" s="135"/>
      <c r="DI253" s="135"/>
      <c r="DJ253" s="135"/>
      <c r="DK253" s="135"/>
      <c r="DL253" s="135"/>
      <c r="DM253" s="135"/>
      <c r="DN253" s="135"/>
      <c r="DO253" s="135"/>
      <c r="DP253" s="135"/>
      <c r="DQ253" s="135"/>
      <c r="DR253" s="135"/>
      <c r="DS253" s="135"/>
      <c r="DT253" s="135"/>
      <c r="DU253" s="135"/>
      <c r="DV253" s="135"/>
      <c r="DW253" s="135"/>
      <c r="DX253" s="135"/>
      <c r="DY253" s="135"/>
      <c r="DZ253" s="135"/>
      <c r="EA253" s="135"/>
      <c r="EB253" s="135"/>
      <c r="EC253" s="135"/>
      <c r="ED253" s="135"/>
      <c r="EE253" s="135"/>
      <c r="EF253" s="135"/>
      <c r="EG253" s="135"/>
      <c r="EH253" s="135"/>
      <c r="EI253" s="135"/>
      <c r="EJ253" s="135"/>
      <c r="EK253" s="135"/>
      <c r="EL253" s="135"/>
      <c r="EM253" s="135"/>
      <c r="EN253" s="135"/>
      <c r="EO253" s="135"/>
      <c r="EP253" s="135"/>
      <c r="EQ253" s="135"/>
      <c r="ER253" s="135"/>
      <c r="ES253" s="135"/>
      <c r="ET253" s="135"/>
      <c r="EU253" s="135"/>
      <c r="EV253" s="135"/>
      <c r="EW253" s="135"/>
      <c r="EX253" s="135"/>
      <c r="EY253" s="135"/>
      <c r="EZ253" s="135"/>
      <c r="FA253" s="135"/>
      <c r="FB253" s="135"/>
    </row>
    <row r="254" spans="4:158" hidden="1" x14ac:dyDescent="0.25"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  <c r="W254" s="135"/>
      <c r="X254" s="135"/>
      <c r="Y254" s="135"/>
      <c r="Z254" s="135"/>
      <c r="AA254" s="135"/>
      <c r="AB254" s="135"/>
      <c r="AC254" s="135"/>
      <c r="AD254" s="135"/>
      <c r="AE254" s="135"/>
      <c r="AF254" s="135"/>
      <c r="AG254" s="135"/>
      <c r="AH254" s="135"/>
      <c r="AI254" s="135"/>
      <c r="AJ254" s="135"/>
      <c r="AK254" s="135"/>
      <c r="AL254" s="135"/>
      <c r="AM254" s="135"/>
      <c r="AN254" s="135"/>
      <c r="AO254" s="135"/>
      <c r="AP254" s="135"/>
      <c r="AQ254" s="135"/>
      <c r="AR254" s="135"/>
      <c r="AS254" s="135"/>
      <c r="AT254" s="135"/>
      <c r="AU254" s="135"/>
      <c r="AV254" s="135"/>
      <c r="AW254" s="135"/>
      <c r="AX254" s="135"/>
      <c r="AY254" s="135"/>
      <c r="AZ254" s="135"/>
      <c r="BA254" s="135"/>
      <c r="BB254" s="135"/>
      <c r="BC254" s="135"/>
      <c r="BD254" s="135"/>
      <c r="BE254" s="135"/>
      <c r="BF254" s="135"/>
      <c r="BG254" s="135"/>
      <c r="BH254" s="135"/>
      <c r="BI254" s="135"/>
      <c r="BJ254" s="135"/>
      <c r="BK254" s="135"/>
      <c r="BL254" s="135"/>
      <c r="BM254" s="135"/>
      <c r="BN254" s="135"/>
      <c r="BO254" s="135"/>
      <c r="BP254" s="135"/>
      <c r="BQ254" s="135"/>
      <c r="BR254" s="135"/>
      <c r="BS254" s="135"/>
      <c r="BT254" s="135"/>
      <c r="BU254" s="135"/>
      <c r="BV254" s="135"/>
      <c r="BW254" s="135"/>
      <c r="BX254" s="135"/>
      <c r="BY254" s="135"/>
      <c r="BZ254" s="135"/>
      <c r="CA254" s="135"/>
      <c r="CB254" s="135"/>
      <c r="CC254" s="135"/>
      <c r="CD254" s="135"/>
      <c r="CE254" s="135"/>
      <c r="CF254" s="135"/>
      <c r="CG254" s="135"/>
      <c r="CH254" s="135"/>
      <c r="CI254" s="135"/>
      <c r="CJ254" s="135"/>
      <c r="CK254" s="135"/>
      <c r="CL254" s="135"/>
      <c r="CM254" s="135"/>
      <c r="CN254" s="135"/>
      <c r="CO254" s="135"/>
      <c r="CP254" s="135"/>
      <c r="CQ254" s="135"/>
      <c r="CR254" s="135"/>
      <c r="CS254" s="135"/>
      <c r="CT254" s="135"/>
      <c r="CU254" s="135"/>
      <c r="CV254" s="135"/>
      <c r="CW254" s="135"/>
      <c r="CX254" s="135"/>
      <c r="CY254" s="135"/>
      <c r="CZ254" s="135"/>
      <c r="DA254" s="135"/>
      <c r="DB254" s="135"/>
      <c r="DC254" s="135"/>
      <c r="DD254" s="135"/>
      <c r="DE254" s="135"/>
      <c r="DF254" s="135"/>
      <c r="DG254" s="135"/>
      <c r="DH254" s="135"/>
      <c r="DI254" s="135"/>
      <c r="DJ254" s="135"/>
      <c r="DK254" s="135"/>
      <c r="DL254" s="135"/>
      <c r="DM254" s="135"/>
      <c r="DN254" s="135"/>
      <c r="DO254" s="135"/>
      <c r="DP254" s="135"/>
      <c r="DQ254" s="135"/>
      <c r="DR254" s="135"/>
      <c r="DS254" s="135"/>
      <c r="DT254" s="135"/>
      <c r="DU254" s="135"/>
      <c r="DV254" s="135"/>
      <c r="DW254" s="135"/>
      <c r="DX254" s="135"/>
      <c r="DY254" s="135"/>
      <c r="DZ254" s="135"/>
      <c r="EA254" s="135"/>
      <c r="EB254" s="135"/>
      <c r="EC254" s="135"/>
      <c r="ED254" s="135"/>
      <c r="EE254" s="135"/>
      <c r="EF254" s="135"/>
      <c r="EG254" s="135"/>
      <c r="EH254" s="135"/>
      <c r="EI254" s="135"/>
      <c r="EJ254" s="135"/>
      <c r="EK254" s="135"/>
      <c r="EL254" s="135"/>
      <c r="EM254" s="135"/>
      <c r="EN254" s="135"/>
      <c r="EO254" s="135"/>
      <c r="EP254" s="135"/>
      <c r="EQ254" s="135"/>
      <c r="ER254" s="135"/>
      <c r="ES254" s="135"/>
      <c r="ET254" s="135"/>
      <c r="EU254" s="135"/>
      <c r="EV254" s="135"/>
      <c r="EW254" s="135"/>
      <c r="EX254" s="135"/>
      <c r="EY254" s="135"/>
      <c r="EZ254" s="135"/>
      <c r="FA254" s="135"/>
      <c r="FB254" s="135"/>
    </row>
    <row r="255" spans="4:158" hidden="1" x14ac:dyDescent="0.25"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  <c r="W255" s="135"/>
      <c r="X255" s="135"/>
      <c r="Y255" s="135"/>
      <c r="Z255" s="135"/>
      <c r="AA255" s="135"/>
      <c r="AB255" s="135"/>
      <c r="AC255" s="135"/>
      <c r="AD255" s="135"/>
      <c r="AE255" s="135"/>
      <c r="AF255" s="135"/>
      <c r="AG255" s="135"/>
      <c r="AH255" s="135"/>
      <c r="AI255" s="135"/>
      <c r="AJ255" s="135"/>
      <c r="AK255" s="135"/>
      <c r="AL255" s="135"/>
      <c r="AM255" s="135"/>
      <c r="AN255" s="135"/>
      <c r="AO255" s="135"/>
      <c r="AP255" s="135"/>
      <c r="AQ255" s="135"/>
      <c r="AR255" s="135"/>
      <c r="AS255" s="135"/>
      <c r="AT255" s="135"/>
      <c r="AU255" s="135"/>
      <c r="AV255" s="135"/>
      <c r="AW255" s="135"/>
      <c r="AX255" s="135"/>
      <c r="AY255" s="135"/>
      <c r="AZ255" s="135"/>
      <c r="BA255" s="135"/>
      <c r="BB255" s="135"/>
      <c r="BC255" s="135"/>
      <c r="BD255" s="135"/>
      <c r="BE255" s="135"/>
      <c r="BF255" s="135"/>
      <c r="BG255" s="135"/>
      <c r="BH255" s="135"/>
      <c r="BI255" s="135"/>
      <c r="BJ255" s="135"/>
      <c r="BK255" s="135"/>
      <c r="BL255" s="135"/>
      <c r="BM255" s="135"/>
      <c r="BN255" s="135"/>
      <c r="BO255" s="135"/>
      <c r="BP255" s="135"/>
      <c r="BQ255" s="135"/>
      <c r="BR255" s="135"/>
      <c r="BS255" s="135"/>
      <c r="BT255" s="135"/>
      <c r="BU255" s="135"/>
      <c r="BV255" s="135"/>
      <c r="BW255" s="135"/>
      <c r="BX255" s="135"/>
      <c r="BY255" s="135"/>
      <c r="BZ255" s="135"/>
      <c r="CA255" s="135"/>
      <c r="CB255" s="135"/>
      <c r="CC255" s="135"/>
      <c r="CD255" s="135"/>
      <c r="CE255" s="135"/>
      <c r="CF255" s="135"/>
      <c r="CG255" s="135"/>
      <c r="CH255" s="135"/>
      <c r="CI255" s="135"/>
      <c r="CJ255" s="135"/>
      <c r="CK255" s="135"/>
      <c r="CL255" s="135"/>
      <c r="CM255" s="135"/>
      <c r="CN255" s="135"/>
      <c r="CO255" s="135"/>
      <c r="CP255" s="135"/>
      <c r="CQ255" s="135"/>
      <c r="CR255" s="135"/>
      <c r="CS255" s="135"/>
      <c r="CT255" s="135"/>
      <c r="CU255" s="135"/>
      <c r="CV255" s="135"/>
      <c r="CW255" s="135"/>
      <c r="CX255" s="135"/>
      <c r="CY255" s="135"/>
      <c r="CZ255" s="135"/>
      <c r="DA255" s="135"/>
      <c r="DB255" s="135"/>
      <c r="DC255" s="135"/>
      <c r="DD255" s="135"/>
      <c r="DE255" s="135"/>
      <c r="DF255" s="135"/>
      <c r="DG255" s="135"/>
      <c r="DH255" s="135"/>
      <c r="DI255" s="135"/>
      <c r="DJ255" s="135"/>
      <c r="DK255" s="135"/>
      <c r="DL255" s="135"/>
      <c r="DM255" s="135"/>
      <c r="DN255" s="135"/>
      <c r="DO255" s="135"/>
      <c r="DP255" s="135"/>
      <c r="DQ255" s="135"/>
      <c r="DR255" s="135"/>
      <c r="DS255" s="135"/>
      <c r="DT255" s="135"/>
      <c r="DU255" s="135"/>
      <c r="DV255" s="135"/>
      <c r="DW255" s="135"/>
      <c r="DX255" s="135"/>
      <c r="DY255" s="135"/>
      <c r="DZ255" s="135"/>
      <c r="EA255" s="135"/>
      <c r="EB255" s="135"/>
      <c r="EC255" s="135"/>
      <c r="ED255" s="135"/>
      <c r="EE255" s="135"/>
      <c r="EF255" s="135"/>
      <c r="EG255" s="135"/>
      <c r="EH255" s="135"/>
      <c r="EI255" s="135"/>
      <c r="EJ255" s="135"/>
      <c r="EK255" s="135"/>
      <c r="EL255" s="135"/>
      <c r="EM255" s="135"/>
      <c r="EN255" s="135"/>
      <c r="EO255" s="135"/>
      <c r="EP255" s="135"/>
      <c r="EQ255" s="135"/>
      <c r="ER255" s="135"/>
      <c r="ES255" s="135"/>
      <c r="ET255" s="135"/>
      <c r="EU255" s="135"/>
      <c r="EV255" s="135"/>
      <c r="EW255" s="135"/>
      <c r="EX255" s="135"/>
      <c r="EY255" s="135"/>
      <c r="EZ255" s="135"/>
      <c r="FA255" s="135"/>
      <c r="FB255" s="135"/>
    </row>
    <row r="256" spans="4:158" hidden="1" x14ac:dyDescent="0.25"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  <c r="W256" s="135"/>
      <c r="X256" s="135"/>
      <c r="Y256" s="135"/>
      <c r="Z256" s="135"/>
      <c r="AA256" s="135"/>
      <c r="AB256" s="135"/>
      <c r="AC256" s="135"/>
      <c r="AD256" s="135"/>
      <c r="AE256" s="135"/>
      <c r="AF256" s="135"/>
      <c r="AG256" s="135"/>
      <c r="AH256" s="135"/>
      <c r="AI256" s="135"/>
      <c r="AJ256" s="135"/>
      <c r="AK256" s="135"/>
      <c r="AL256" s="135"/>
      <c r="AM256" s="135"/>
      <c r="AN256" s="135"/>
      <c r="AO256" s="135"/>
      <c r="AP256" s="135"/>
      <c r="AQ256" s="135"/>
      <c r="AR256" s="135"/>
      <c r="AS256" s="135"/>
      <c r="AT256" s="135"/>
      <c r="AU256" s="135"/>
      <c r="AV256" s="135"/>
      <c r="AW256" s="135"/>
      <c r="AX256" s="135"/>
      <c r="AY256" s="135"/>
      <c r="AZ256" s="135"/>
      <c r="BA256" s="135"/>
      <c r="BB256" s="135"/>
      <c r="BC256" s="135"/>
      <c r="BD256" s="135"/>
      <c r="BE256" s="135"/>
      <c r="BF256" s="135"/>
      <c r="BG256" s="135"/>
      <c r="BH256" s="135"/>
      <c r="BI256" s="135"/>
      <c r="BJ256" s="135"/>
      <c r="BK256" s="135"/>
      <c r="BL256" s="135"/>
      <c r="BM256" s="135"/>
      <c r="BN256" s="135"/>
      <c r="BO256" s="135"/>
      <c r="BP256" s="135"/>
      <c r="BQ256" s="135"/>
      <c r="BR256" s="135"/>
      <c r="BS256" s="135"/>
      <c r="BT256" s="135"/>
      <c r="BU256" s="135"/>
      <c r="BV256" s="135"/>
      <c r="BW256" s="135"/>
      <c r="BX256" s="135"/>
      <c r="BY256" s="135"/>
      <c r="BZ256" s="135"/>
      <c r="CA256" s="135"/>
      <c r="CB256" s="135"/>
      <c r="CC256" s="135"/>
      <c r="CD256" s="135"/>
      <c r="CE256" s="135"/>
      <c r="CF256" s="135"/>
      <c r="CG256" s="135"/>
      <c r="CH256" s="135"/>
      <c r="CI256" s="135"/>
      <c r="CJ256" s="135"/>
      <c r="CK256" s="135"/>
      <c r="CL256" s="135"/>
      <c r="CM256" s="135"/>
      <c r="CN256" s="135"/>
      <c r="CO256" s="135"/>
      <c r="CP256" s="135"/>
      <c r="CQ256" s="135"/>
      <c r="CR256" s="135"/>
      <c r="CS256" s="135"/>
      <c r="CT256" s="135"/>
      <c r="CU256" s="135"/>
      <c r="CV256" s="135"/>
      <c r="CW256" s="135"/>
      <c r="CX256" s="135"/>
      <c r="CY256" s="135"/>
      <c r="CZ256" s="135"/>
      <c r="DA256" s="135"/>
      <c r="DB256" s="135"/>
      <c r="DC256" s="135"/>
      <c r="DD256" s="135"/>
      <c r="DE256" s="135"/>
      <c r="DF256" s="135"/>
      <c r="DG256" s="135"/>
      <c r="DH256" s="135"/>
      <c r="DI256" s="135"/>
      <c r="DJ256" s="135"/>
      <c r="DK256" s="135"/>
      <c r="DL256" s="135"/>
      <c r="DM256" s="135"/>
      <c r="DN256" s="135"/>
      <c r="DO256" s="135"/>
      <c r="DP256" s="135"/>
      <c r="DQ256" s="135"/>
      <c r="DR256" s="135"/>
      <c r="DS256" s="135"/>
      <c r="DT256" s="135"/>
      <c r="DU256" s="135"/>
      <c r="DV256" s="135"/>
      <c r="DW256" s="135"/>
      <c r="DX256" s="135"/>
      <c r="DY256" s="135"/>
      <c r="DZ256" s="135"/>
      <c r="EA256" s="135"/>
      <c r="EB256" s="135"/>
      <c r="EC256" s="135"/>
      <c r="ED256" s="135"/>
      <c r="EE256" s="135"/>
      <c r="EF256" s="135"/>
      <c r="EG256" s="135"/>
      <c r="EH256" s="135"/>
      <c r="EI256" s="135"/>
      <c r="EJ256" s="135"/>
      <c r="EK256" s="135"/>
      <c r="EL256" s="135"/>
      <c r="EM256" s="135"/>
      <c r="EN256" s="135"/>
      <c r="EO256" s="135"/>
      <c r="EP256" s="135"/>
      <c r="EQ256" s="135"/>
      <c r="ER256" s="135"/>
      <c r="ES256" s="135"/>
      <c r="ET256" s="135"/>
      <c r="EU256" s="135"/>
      <c r="EV256" s="135"/>
      <c r="EW256" s="135"/>
      <c r="EX256" s="135"/>
      <c r="EY256" s="135"/>
      <c r="EZ256" s="135"/>
      <c r="FA256" s="135"/>
      <c r="FB256" s="135"/>
    </row>
    <row r="257" spans="1:158" hidden="1" x14ac:dyDescent="0.25"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  <c r="Y257" s="135"/>
      <c r="Z257" s="135"/>
      <c r="AA257" s="135"/>
      <c r="AB257" s="135"/>
      <c r="AC257" s="135"/>
      <c r="AD257" s="135"/>
      <c r="AE257" s="135"/>
      <c r="AF257" s="135"/>
      <c r="AG257" s="135"/>
      <c r="AH257" s="135"/>
      <c r="AI257" s="135"/>
      <c r="AJ257" s="135"/>
      <c r="AK257" s="135"/>
      <c r="AL257" s="135"/>
      <c r="AM257" s="135"/>
      <c r="AN257" s="135"/>
      <c r="AO257" s="135"/>
      <c r="AP257" s="135"/>
      <c r="AQ257" s="135"/>
      <c r="AR257" s="135"/>
      <c r="AS257" s="135"/>
      <c r="AT257" s="135"/>
      <c r="AU257" s="135"/>
      <c r="AV257" s="135"/>
      <c r="AW257" s="135"/>
      <c r="AX257" s="135"/>
      <c r="AY257" s="135"/>
      <c r="AZ257" s="135"/>
      <c r="BA257" s="135"/>
      <c r="BB257" s="135"/>
      <c r="BC257" s="135"/>
      <c r="BD257" s="135"/>
      <c r="BE257" s="135"/>
      <c r="BF257" s="135"/>
      <c r="BG257" s="135"/>
      <c r="BH257" s="135"/>
      <c r="BI257" s="135"/>
      <c r="BJ257" s="135"/>
      <c r="BK257" s="135"/>
      <c r="BL257" s="135"/>
      <c r="BM257" s="135"/>
      <c r="BN257" s="135"/>
      <c r="BO257" s="135"/>
      <c r="BP257" s="135"/>
      <c r="BQ257" s="135"/>
      <c r="BR257" s="135"/>
      <c r="BS257" s="135"/>
      <c r="BT257" s="135"/>
      <c r="BU257" s="135"/>
      <c r="BV257" s="135"/>
      <c r="BW257" s="135"/>
      <c r="BX257" s="135"/>
      <c r="BY257" s="135"/>
      <c r="BZ257" s="135"/>
      <c r="CA257" s="135"/>
      <c r="CB257" s="135"/>
      <c r="CC257" s="135"/>
      <c r="CD257" s="135"/>
      <c r="CE257" s="135"/>
      <c r="CF257" s="135"/>
      <c r="CG257" s="135"/>
      <c r="CH257" s="135"/>
      <c r="CI257" s="135"/>
      <c r="CJ257" s="135"/>
      <c r="CK257" s="135"/>
      <c r="CL257" s="135"/>
      <c r="CM257" s="135"/>
      <c r="CN257" s="135"/>
      <c r="CO257" s="135"/>
      <c r="CP257" s="135"/>
      <c r="CQ257" s="135"/>
      <c r="CR257" s="135"/>
      <c r="CS257" s="135"/>
      <c r="CT257" s="135"/>
      <c r="CU257" s="135"/>
      <c r="CV257" s="135"/>
      <c r="CW257" s="135"/>
      <c r="CX257" s="135"/>
      <c r="CY257" s="135"/>
      <c r="CZ257" s="135"/>
      <c r="DA257" s="135"/>
      <c r="DB257" s="135"/>
      <c r="DC257" s="135"/>
      <c r="DD257" s="135"/>
      <c r="DE257" s="135"/>
      <c r="DF257" s="135"/>
      <c r="DG257" s="135"/>
      <c r="DH257" s="135"/>
      <c r="DI257" s="135"/>
      <c r="DJ257" s="135"/>
      <c r="DK257" s="135"/>
      <c r="DL257" s="135"/>
      <c r="DM257" s="135"/>
      <c r="DN257" s="135"/>
      <c r="DO257" s="135"/>
      <c r="DP257" s="135"/>
      <c r="DQ257" s="135"/>
      <c r="DR257" s="135"/>
      <c r="DS257" s="135"/>
      <c r="DT257" s="135"/>
      <c r="DU257" s="135"/>
      <c r="DV257" s="135"/>
      <c r="DW257" s="135"/>
      <c r="DX257" s="135"/>
      <c r="DY257" s="135"/>
      <c r="DZ257" s="135"/>
      <c r="EA257" s="135"/>
      <c r="EB257" s="135"/>
      <c r="EC257" s="135"/>
      <c r="ED257" s="135"/>
      <c r="EE257" s="135"/>
      <c r="EF257" s="135"/>
      <c r="EG257" s="135"/>
      <c r="EH257" s="135"/>
      <c r="EI257" s="135"/>
      <c r="EJ257" s="135"/>
      <c r="EK257" s="135"/>
      <c r="EL257" s="135"/>
      <c r="EM257" s="135"/>
      <c r="EN257" s="135"/>
      <c r="EO257" s="135"/>
      <c r="EP257" s="135"/>
      <c r="EQ257" s="135"/>
      <c r="ER257" s="135"/>
      <c r="ES257" s="135"/>
      <c r="ET257" s="135"/>
      <c r="EU257" s="135"/>
      <c r="EV257" s="135"/>
      <c r="EW257" s="135"/>
      <c r="EX257" s="135"/>
      <c r="EY257" s="135"/>
      <c r="EZ257" s="135"/>
      <c r="FA257" s="135"/>
      <c r="FB257" s="135"/>
    </row>
    <row r="258" spans="1:158" hidden="1" x14ac:dyDescent="0.25"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  <c r="Y258" s="135"/>
      <c r="Z258" s="135"/>
      <c r="AA258" s="135"/>
      <c r="AB258" s="135"/>
      <c r="AC258" s="135"/>
      <c r="AD258" s="135"/>
      <c r="AE258" s="135"/>
      <c r="AF258" s="135"/>
      <c r="AG258" s="135"/>
      <c r="AH258" s="135"/>
      <c r="AI258" s="135"/>
      <c r="AJ258" s="135"/>
      <c r="AK258" s="135"/>
      <c r="AL258" s="135"/>
      <c r="AM258" s="135"/>
      <c r="AN258" s="135"/>
      <c r="AO258" s="135"/>
      <c r="AP258" s="135"/>
      <c r="AQ258" s="135"/>
      <c r="AR258" s="135"/>
      <c r="AS258" s="135"/>
      <c r="AT258" s="135"/>
      <c r="AU258" s="135"/>
      <c r="AV258" s="135"/>
      <c r="AW258" s="135"/>
      <c r="AX258" s="135"/>
      <c r="AY258" s="135"/>
      <c r="AZ258" s="135"/>
      <c r="BA258" s="135"/>
      <c r="BB258" s="135"/>
      <c r="BC258" s="135"/>
      <c r="BD258" s="135"/>
      <c r="BE258" s="135"/>
      <c r="BF258" s="135"/>
      <c r="BG258" s="135"/>
      <c r="BH258" s="135"/>
      <c r="BI258" s="135"/>
      <c r="BJ258" s="135"/>
      <c r="BK258" s="135"/>
      <c r="BL258" s="135"/>
      <c r="BM258" s="135"/>
      <c r="BN258" s="135"/>
      <c r="BO258" s="135"/>
      <c r="BP258" s="135"/>
      <c r="BQ258" s="135"/>
      <c r="BR258" s="135"/>
      <c r="BS258" s="135"/>
      <c r="BT258" s="135"/>
      <c r="BU258" s="135"/>
      <c r="BV258" s="135"/>
      <c r="BW258" s="135"/>
      <c r="BX258" s="135"/>
      <c r="BY258" s="135"/>
      <c r="BZ258" s="135"/>
      <c r="CA258" s="135"/>
      <c r="CB258" s="135"/>
      <c r="CC258" s="135"/>
      <c r="CD258" s="135"/>
      <c r="CE258" s="135"/>
      <c r="CF258" s="135"/>
      <c r="CG258" s="135"/>
      <c r="CH258" s="135"/>
      <c r="CI258" s="135"/>
      <c r="CJ258" s="135"/>
      <c r="CK258" s="135"/>
      <c r="CL258" s="135"/>
      <c r="CM258" s="135"/>
      <c r="CN258" s="135"/>
      <c r="CO258" s="135"/>
      <c r="CP258" s="135"/>
      <c r="CQ258" s="135"/>
      <c r="CR258" s="135"/>
      <c r="CS258" s="135"/>
      <c r="CT258" s="135"/>
      <c r="CU258" s="135"/>
      <c r="CV258" s="135"/>
      <c r="CW258" s="135"/>
      <c r="CX258" s="135"/>
      <c r="CY258" s="135"/>
      <c r="CZ258" s="135"/>
      <c r="DA258" s="135"/>
      <c r="DB258" s="135"/>
      <c r="DC258" s="135"/>
      <c r="DD258" s="135"/>
      <c r="DE258" s="135"/>
      <c r="DF258" s="135"/>
      <c r="DG258" s="135"/>
      <c r="DH258" s="135"/>
      <c r="DI258" s="135"/>
      <c r="DJ258" s="135"/>
      <c r="DK258" s="135"/>
      <c r="DL258" s="135"/>
      <c r="DM258" s="135"/>
      <c r="DN258" s="135"/>
      <c r="DO258" s="135"/>
      <c r="DP258" s="135"/>
      <c r="DQ258" s="135"/>
      <c r="DR258" s="135"/>
      <c r="DS258" s="135"/>
      <c r="DT258" s="135"/>
      <c r="DU258" s="135"/>
      <c r="DV258" s="135"/>
      <c r="DW258" s="135"/>
      <c r="DX258" s="135"/>
      <c r="DY258" s="135"/>
      <c r="DZ258" s="135"/>
      <c r="EA258" s="135"/>
      <c r="EB258" s="135"/>
      <c r="EC258" s="135"/>
      <c r="ED258" s="135"/>
      <c r="EE258" s="135"/>
      <c r="EF258" s="135"/>
      <c r="EG258" s="135"/>
      <c r="EH258" s="135"/>
      <c r="EI258" s="135"/>
      <c r="EJ258" s="135"/>
      <c r="EK258" s="135"/>
      <c r="EL258" s="135"/>
      <c r="EM258" s="135"/>
      <c r="EN258" s="135"/>
      <c r="EO258" s="135"/>
      <c r="EP258" s="135"/>
      <c r="EQ258" s="135"/>
      <c r="ER258" s="135"/>
      <c r="ES258" s="135"/>
      <c r="ET258" s="135"/>
      <c r="EU258" s="135"/>
      <c r="EV258" s="135"/>
      <c r="EW258" s="135"/>
      <c r="EX258" s="135"/>
      <c r="EY258" s="135"/>
      <c r="EZ258" s="135"/>
      <c r="FA258" s="135"/>
      <c r="FB258" s="135"/>
    </row>
    <row r="260" spans="1:158" x14ac:dyDescent="0.25">
      <c r="A260" s="46" t="s">
        <v>330</v>
      </c>
    </row>
  </sheetData>
  <autoFilter ref="A7:FB173"/>
  <mergeCells count="6">
    <mergeCell ref="A2:F3"/>
    <mergeCell ref="B4:B6"/>
    <mergeCell ref="D4:D6"/>
    <mergeCell ref="E4:E6"/>
    <mergeCell ref="C4:C6"/>
    <mergeCell ref="F4:F6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N88"/>
  <sheetViews>
    <sheetView zoomScale="90" zoomScaleNormal="90" zoomScaleSheetLayoutView="75" workbookViewId="0">
      <pane xSplit="1" ySplit="7" topLeftCell="B73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43.7109375" style="95" customWidth="1"/>
    <col min="2" max="2" width="10.28515625" style="95" customWidth="1"/>
    <col min="3" max="3" width="12.7109375" style="95" customWidth="1"/>
    <col min="4" max="4" width="11.42578125" style="634" customWidth="1"/>
    <col min="5" max="6" width="10.85546875" style="634" customWidth="1"/>
    <col min="7" max="16384" width="11.42578125" style="95"/>
  </cols>
  <sheetData>
    <row r="1" spans="1:196" x14ac:dyDescent="0.25">
      <c r="E1" s="635"/>
    </row>
    <row r="2" spans="1:196" ht="15" customHeight="1" x14ac:dyDescent="0.25">
      <c r="A2" s="714" t="s">
        <v>293</v>
      </c>
      <c r="B2" s="715"/>
      <c r="C2" s="715"/>
      <c r="D2" s="715"/>
      <c r="E2" s="715"/>
      <c r="F2" s="715"/>
    </row>
    <row r="3" spans="1:196" ht="15.75" thickBot="1" x14ac:dyDescent="0.3">
      <c r="A3" s="715"/>
      <c r="B3" s="715"/>
      <c r="C3" s="715"/>
      <c r="D3" s="715"/>
      <c r="E3" s="715"/>
      <c r="F3" s="715"/>
    </row>
    <row r="4" spans="1:196" ht="36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196" ht="24" customHeight="1" x14ac:dyDescent="0.3">
      <c r="A5" s="9"/>
      <c r="B5" s="688"/>
      <c r="C5" s="710"/>
      <c r="D5" s="694"/>
      <c r="E5" s="688"/>
      <c r="F5" s="691"/>
    </row>
    <row r="6" spans="1:196" ht="44.25" customHeight="1" thickBot="1" x14ac:dyDescent="0.3">
      <c r="A6" s="10" t="s">
        <v>3</v>
      </c>
      <c r="B6" s="689"/>
      <c r="C6" s="711"/>
      <c r="D6" s="695"/>
      <c r="E6" s="689"/>
      <c r="F6" s="692"/>
    </row>
    <row r="7" spans="1:196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196" s="64" customFormat="1" ht="29.25" x14ac:dyDescent="0.25">
      <c r="A8" s="636" t="s">
        <v>147</v>
      </c>
      <c r="B8" s="637"/>
      <c r="C8" s="637"/>
      <c r="D8" s="637"/>
      <c r="E8" s="637"/>
      <c r="F8" s="637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  <c r="CW8" s="95"/>
      <c r="CX8" s="95"/>
      <c r="CY8" s="95"/>
      <c r="CZ8" s="95"/>
      <c r="DA8" s="95"/>
      <c r="DB8" s="95"/>
      <c r="DC8" s="95"/>
      <c r="DD8" s="95"/>
      <c r="DE8" s="95"/>
      <c r="DF8" s="95"/>
      <c r="DG8" s="95"/>
      <c r="DH8" s="95"/>
      <c r="DI8" s="95"/>
      <c r="DJ8" s="95"/>
      <c r="DK8" s="95"/>
      <c r="DL8" s="95"/>
      <c r="DM8" s="95"/>
      <c r="DN8" s="95"/>
      <c r="DO8" s="95"/>
      <c r="DP8" s="95"/>
      <c r="DQ8" s="95"/>
      <c r="DR8" s="95"/>
      <c r="DS8" s="95"/>
      <c r="DT8" s="95"/>
      <c r="DU8" s="95"/>
      <c r="DV8" s="95"/>
      <c r="DW8" s="95"/>
      <c r="DX8" s="95"/>
      <c r="DY8" s="95"/>
      <c r="DZ8" s="95"/>
      <c r="EA8" s="95"/>
      <c r="EB8" s="95"/>
      <c r="EC8" s="95"/>
      <c r="ED8" s="95"/>
      <c r="EE8" s="95"/>
      <c r="EF8" s="95"/>
      <c r="EG8" s="95"/>
      <c r="EH8" s="95"/>
      <c r="EI8" s="95"/>
      <c r="EJ8" s="95"/>
      <c r="EK8" s="95"/>
      <c r="EL8" s="95"/>
      <c r="EM8" s="95"/>
      <c r="EN8" s="95"/>
      <c r="EO8" s="95"/>
      <c r="EP8" s="95"/>
      <c r="EQ8" s="95"/>
      <c r="ER8" s="95"/>
      <c r="ES8" s="95"/>
      <c r="ET8" s="95"/>
      <c r="EU8" s="95"/>
      <c r="EV8" s="95"/>
      <c r="EW8" s="95"/>
      <c r="EX8" s="95"/>
      <c r="EY8" s="95"/>
      <c r="EZ8" s="95"/>
      <c r="FA8" s="95"/>
      <c r="FB8" s="95"/>
      <c r="FC8" s="95"/>
      <c r="FD8" s="95"/>
      <c r="FE8" s="95"/>
      <c r="FF8" s="95"/>
      <c r="FG8" s="95"/>
      <c r="FH8" s="95"/>
      <c r="FI8" s="95"/>
      <c r="FJ8" s="95"/>
      <c r="FK8" s="95"/>
      <c r="FL8" s="95"/>
      <c r="FM8" s="95"/>
      <c r="FN8" s="95"/>
      <c r="FO8" s="95"/>
      <c r="FP8" s="95"/>
      <c r="FQ8" s="95"/>
      <c r="FR8" s="95"/>
      <c r="FS8" s="95"/>
      <c r="FT8" s="95"/>
      <c r="FU8" s="95"/>
      <c r="FV8" s="95"/>
      <c r="FW8" s="95"/>
      <c r="FX8" s="95"/>
      <c r="FY8" s="95"/>
      <c r="FZ8" s="95"/>
      <c r="GA8" s="95"/>
      <c r="GB8" s="95"/>
      <c r="GC8" s="95"/>
      <c r="GD8" s="95"/>
      <c r="GE8" s="95"/>
      <c r="GF8" s="95"/>
      <c r="GG8" s="95"/>
      <c r="GH8" s="95"/>
      <c r="GI8" s="95"/>
      <c r="GJ8" s="95"/>
      <c r="GK8" s="95"/>
      <c r="GL8" s="95"/>
      <c r="GM8" s="95"/>
      <c r="GN8" s="95"/>
    </row>
    <row r="9" spans="1:196" s="64" customFormat="1" x14ac:dyDescent="0.25">
      <c r="A9" s="69" t="s">
        <v>4</v>
      </c>
      <c r="B9" s="118"/>
      <c r="C9" s="45"/>
      <c r="D9" s="45"/>
      <c r="E9" s="45"/>
      <c r="F9" s="4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</row>
    <row r="10" spans="1:196" s="64" customFormat="1" x14ac:dyDescent="0.25">
      <c r="A10" s="59" t="s">
        <v>21</v>
      </c>
      <c r="B10" s="2">
        <v>340</v>
      </c>
      <c r="C10" s="45">
        <v>1250</v>
      </c>
      <c r="D10" s="638">
        <v>10.7</v>
      </c>
      <c r="E10" s="100">
        <f t="shared" ref="E10:E18" si="0">ROUND(F10/B10,0)</f>
        <v>39</v>
      </c>
      <c r="F10" s="3">
        <f t="shared" ref="F10:F18" si="1">ROUND(C10*D10,0)</f>
        <v>13375</v>
      </c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  <c r="CW10" s="95"/>
      <c r="CX10" s="95"/>
      <c r="CY10" s="95"/>
      <c r="CZ10" s="95"/>
      <c r="DA10" s="95"/>
      <c r="DB10" s="95"/>
      <c r="DC10" s="95"/>
      <c r="DD10" s="95"/>
      <c r="DE10" s="95"/>
      <c r="DF10" s="95"/>
      <c r="DG10" s="95"/>
      <c r="DH10" s="95"/>
      <c r="DI10" s="95"/>
      <c r="DJ10" s="95"/>
      <c r="DK10" s="95"/>
      <c r="DL10" s="95"/>
      <c r="DM10" s="95"/>
      <c r="DN10" s="95"/>
      <c r="DO10" s="95"/>
      <c r="DP10" s="95"/>
      <c r="DQ10" s="95"/>
      <c r="DR10" s="95"/>
      <c r="DS10" s="95"/>
      <c r="DT10" s="95"/>
      <c r="DU10" s="95"/>
      <c r="DV10" s="95"/>
      <c r="DW10" s="95"/>
      <c r="DX10" s="95"/>
      <c r="DY10" s="95"/>
      <c r="DZ10" s="95"/>
      <c r="EA10" s="95"/>
      <c r="EB10" s="95"/>
      <c r="EC10" s="95"/>
      <c r="ED10" s="95"/>
      <c r="EE10" s="95"/>
      <c r="EF10" s="95"/>
      <c r="EG10" s="95"/>
      <c r="EH10" s="95"/>
      <c r="EI10" s="95"/>
      <c r="EJ10" s="95"/>
      <c r="EK10" s="95"/>
      <c r="EL10" s="95"/>
      <c r="EM10" s="95"/>
      <c r="EN10" s="95"/>
      <c r="EO10" s="95"/>
      <c r="EP10" s="95"/>
      <c r="EQ10" s="95"/>
      <c r="ER10" s="95"/>
      <c r="ES10" s="95"/>
      <c r="ET10" s="95"/>
      <c r="EU10" s="95"/>
      <c r="EV10" s="95"/>
      <c r="EW10" s="95"/>
      <c r="EX10" s="95"/>
      <c r="EY10" s="95"/>
      <c r="EZ10" s="95"/>
      <c r="FA10" s="95"/>
      <c r="FB10" s="95"/>
      <c r="FC10" s="95"/>
      <c r="FD10" s="95"/>
      <c r="FE10" s="95"/>
      <c r="FF10" s="95"/>
      <c r="FG10" s="95"/>
      <c r="FH10" s="95"/>
      <c r="FI10" s="95"/>
      <c r="FJ10" s="95"/>
      <c r="FK10" s="95"/>
      <c r="FL10" s="95"/>
      <c r="FM10" s="95"/>
      <c r="FN10" s="95"/>
      <c r="FO10" s="95"/>
      <c r="FP10" s="95"/>
      <c r="FQ10" s="95"/>
      <c r="FR10" s="95"/>
      <c r="FS10" s="95"/>
      <c r="FT10" s="95"/>
      <c r="FU10" s="95"/>
      <c r="FV10" s="95"/>
      <c r="FW10" s="95"/>
      <c r="FX10" s="95"/>
      <c r="FY10" s="95"/>
      <c r="FZ10" s="95"/>
      <c r="GA10" s="95"/>
      <c r="GB10" s="95"/>
      <c r="GC10" s="95"/>
      <c r="GD10" s="95"/>
      <c r="GE10" s="95"/>
      <c r="GF10" s="95"/>
      <c r="GG10" s="95"/>
      <c r="GH10" s="95"/>
      <c r="GI10" s="95"/>
      <c r="GJ10" s="95"/>
      <c r="GK10" s="95"/>
      <c r="GL10" s="95"/>
      <c r="GM10" s="95"/>
      <c r="GN10" s="95"/>
    </row>
    <row r="11" spans="1:196" s="64" customFormat="1" x14ac:dyDescent="0.25">
      <c r="A11" s="59" t="s">
        <v>11</v>
      </c>
      <c r="B11" s="2">
        <v>340</v>
      </c>
      <c r="C11" s="45">
        <v>970</v>
      </c>
      <c r="D11" s="638">
        <v>8.5</v>
      </c>
      <c r="E11" s="100">
        <f t="shared" si="0"/>
        <v>24</v>
      </c>
      <c r="F11" s="3">
        <f t="shared" si="1"/>
        <v>8245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5"/>
      <c r="BT11" s="95"/>
      <c r="BU11" s="95"/>
      <c r="BV11" s="95"/>
      <c r="BW11" s="95"/>
      <c r="BX11" s="95"/>
      <c r="BY11" s="95"/>
      <c r="BZ11" s="95"/>
      <c r="CA11" s="95"/>
      <c r="CB11" s="95"/>
      <c r="CC11" s="95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  <c r="CW11" s="95"/>
      <c r="CX11" s="95"/>
      <c r="CY11" s="95"/>
      <c r="CZ11" s="95"/>
      <c r="DA11" s="95"/>
      <c r="DB11" s="95"/>
      <c r="DC11" s="95"/>
      <c r="DD11" s="95"/>
      <c r="DE11" s="95"/>
      <c r="DF11" s="95"/>
      <c r="DG11" s="95"/>
      <c r="DH11" s="95"/>
      <c r="DI11" s="95"/>
      <c r="DJ11" s="95"/>
      <c r="DK11" s="95"/>
      <c r="DL11" s="95"/>
      <c r="DM11" s="95"/>
      <c r="DN11" s="95"/>
      <c r="DO11" s="95"/>
      <c r="DP11" s="95"/>
      <c r="DQ11" s="95"/>
      <c r="DR11" s="95"/>
      <c r="DS11" s="95"/>
      <c r="DT11" s="95"/>
      <c r="DU11" s="95"/>
      <c r="DV11" s="95"/>
      <c r="DW11" s="95"/>
      <c r="DX11" s="95"/>
      <c r="DY11" s="95"/>
      <c r="DZ11" s="95"/>
      <c r="EA11" s="95"/>
      <c r="EB11" s="95"/>
      <c r="EC11" s="95"/>
      <c r="ED11" s="95"/>
      <c r="EE11" s="95"/>
      <c r="EF11" s="95"/>
      <c r="EG11" s="95"/>
      <c r="EH11" s="95"/>
      <c r="EI11" s="95"/>
      <c r="EJ11" s="95"/>
      <c r="EK11" s="95"/>
      <c r="EL11" s="95"/>
      <c r="EM11" s="95"/>
      <c r="EN11" s="95"/>
      <c r="EO11" s="95"/>
      <c r="EP11" s="95"/>
      <c r="EQ11" s="95"/>
      <c r="ER11" s="95"/>
      <c r="ES11" s="95"/>
      <c r="ET11" s="95"/>
      <c r="EU11" s="95"/>
      <c r="EV11" s="95"/>
      <c r="EW11" s="95"/>
      <c r="EX11" s="95"/>
      <c r="EY11" s="95"/>
      <c r="EZ11" s="95"/>
      <c r="FA11" s="95"/>
      <c r="FB11" s="95"/>
      <c r="FC11" s="95"/>
      <c r="FD11" s="95"/>
      <c r="FE11" s="95"/>
      <c r="FF11" s="95"/>
      <c r="FG11" s="95"/>
      <c r="FH11" s="95"/>
      <c r="FI11" s="95"/>
      <c r="FJ11" s="95"/>
      <c r="FK11" s="95"/>
      <c r="FL11" s="95"/>
      <c r="FM11" s="95"/>
      <c r="FN11" s="95"/>
      <c r="FO11" s="95"/>
      <c r="FP11" s="95"/>
      <c r="FQ11" s="95"/>
      <c r="FR11" s="95"/>
      <c r="FS11" s="95"/>
      <c r="FT11" s="95"/>
      <c r="FU11" s="95"/>
      <c r="FV11" s="95"/>
      <c r="FW11" s="95"/>
      <c r="FX11" s="95"/>
      <c r="FY11" s="95"/>
      <c r="FZ11" s="95"/>
      <c r="GA11" s="95"/>
      <c r="GB11" s="95"/>
      <c r="GC11" s="95"/>
      <c r="GD11" s="95"/>
      <c r="GE11" s="95"/>
      <c r="GF11" s="95"/>
      <c r="GG11" s="95"/>
      <c r="GH11" s="95"/>
      <c r="GI11" s="95"/>
      <c r="GJ11" s="95"/>
      <c r="GK11" s="95"/>
      <c r="GL11" s="95"/>
      <c r="GM11" s="95"/>
      <c r="GN11" s="95"/>
    </row>
    <row r="12" spans="1:196" s="64" customFormat="1" x14ac:dyDescent="0.25">
      <c r="A12" s="59" t="s">
        <v>100</v>
      </c>
      <c r="B12" s="2">
        <v>270</v>
      </c>
      <c r="C12" s="45">
        <v>990</v>
      </c>
      <c r="D12" s="638">
        <v>7.5</v>
      </c>
      <c r="E12" s="100">
        <f t="shared" si="0"/>
        <v>28</v>
      </c>
      <c r="F12" s="3">
        <f t="shared" si="1"/>
        <v>7425</v>
      </c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</row>
    <row r="13" spans="1:196" s="64" customFormat="1" x14ac:dyDescent="0.25">
      <c r="A13" s="59" t="s">
        <v>26</v>
      </c>
      <c r="B13" s="2">
        <v>320</v>
      </c>
      <c r="C13" s="45">
        <v>485</v>
      </c>
      <c r="D13" s="638">
        <v>9</v>
      </c>
      <c r="E13" s="100">
        <f t="shared" si="0"/>
        <v>14</v>
      </c>
      <c r="F13" s="3">
        <f t="shared" si="1"/>
        <v>4365</v>
      </c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</row>
    <row r="14" spans="1:196" s="64" customFormat="1" x14ac:dyDescent="0.25">
      <c r="A14" s="59" t="s">
        <v>24</v>
      </c>
      <c r="B14" s="2">
        <v>340</v>
      </c>
      <c r="C14" s="45">
        <v>260</v>
      </c>
      <c r="D14" s="638">
        <v>7.7</v>
      </c>
      <c r="E14" s="100">
        <f t="shared" si="0"/>
        <v>6</v>
      </c>
      <c r="F14" s="3">
        <f t="shared" si="1"/>
        <v>2002</v>
      </c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</row>
    <row r="15" spans="1:196" s="64" customFormat="1" x14ac:dyDescent="0.25">
      <c r="A15" s="59" t="s">
        <v>28</v>
      </c>
      <c r="B15" s="2">
        <v>300</v>
      </c>
      <c r="C15" s="45">
        <v>255</v>
      </c>
      <c r="D15" s="638">
        <v>5.6</v>
      </c>
      <c r="E15" s="100">
        <f t="shared" si="0"/>
        <v>5</v>
      </c>
      <c r="F15" s="3">
        <f t="shared" si="1"/>
        <v>1428</v>
      </c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95"/>
      <c r="CY15" s="95"/>
      <c r="CZ15" s="95"/>
      <c r="DA15" s="95"/>
      <c r="DB15" s="95"/>
      <c r="DC15" s="95"/>
      <c r="DD15" s="95"/>
      <c r="DE15" s="95"/>
      <c r="DF15" s="95"/>
      <c r="DG15" s="95"/>
      <c r="DH15" s="95"/>
      <c r="DI15" s="95"/>
      <c r="DJ15" s="95"/>
      <c r="DK15" s="95"/>
      <c r="DL15" s="95"/>
      <c r="DM15" s="95"/>
      <c r="DN15" s="95"/>
      <c r="DO15" s="95"/>
      <c r="DP15" s="95"/>
      <c r="DQ15" s="95"/>
      <c r="DR15" s="95"/>
      <c r="DS15" s="95"/>
      <c r="DT15" s="95"/>
      <c r="DU15" s="95"/>
      <c r="DV15" s="95"/>
      <c r="DW15" s="95"/>
      <c r="DX15" s="95"/>
      <c r="DY15" s="95"/>
      <c r="DZ15" s="95"/>
      <c r="EA15" s="95"/>
      <c r="EB15" s="95"/>
      <c r="EC15" s="95"/>
      <c r="ED15" s="95"/>
      <c r="EE15" s="95"/>
      <c r="EF15" s="95"/>
      <c r="EG15" s="95"/>
      <c r="EH15" s="95"/>
      <c r="EI15" s="95"/>
      <c r="EJ15" s="95"/>
      <c r="EK15" s="95"/>
      <c r="EL15" s="95"/>
      <c r="EM15" s="95"/>
      <c r="EN15" s="95"/>
      <c r="EO15" s="95"/>
      <c r="EP15" s="95"/>
      <c r="EQ15" s="95"/>
      <c r="ER15" s="95"/>
      <c r="ES15" s="95"/>
      <c r="ET15" s="95"/>
      <c r="EU15" s="95"/>
      <c r="EV15" s="95"/>
      <c r="EW15" s="95"/>
      <c r="EX15" s="95"/>
      <c r="EY15" s="95"/>
      <c r="EZ15" s="95"/>
      <c r="FA15" s="95"/>
      <c r="FB15" s="95"/>
      <c r="FC15" s="95"/>
      <c r="FD15" s="95"/>
      <c r="FE15" s="95"/>
      <c r="FF15" s="95"/>
      <c r="FG15" s="95"/>
      <c r="FH15" s="95"/>
      <c r="FI15" s="95"/>
      <c r="FJ15" s="95"/>
      <c r="FK15" s="95"/>
      <c r="FL15" s="95"/>
      <c r="FM15" s="95"/>
      <c r="FN15" s="95"/>
      <c r="FO15" s="95"/>
      <c r="FP15" s="95"/>
      <c r="FQ15" s="95"/>
      <c r="FR15" s="95"/>
      <c r="FS15" s="95"/>
      <c r="FT15" s="95"/>
      <c r="FU15" s="95"/>
      <c r="FV15" s="95"/>
      <c r="FW15" s="95"/>
      <c r="FX15" s="95"/>
      <c r="FY15" s="95"/>
      <c r="FZ15" s="95"/>
      <c r="GA15" s="95"/>
      <c r="GB15" s="95"/>
      <c r="GC15" s="95"/>
      <c r="GD15" s="95"/>
      <c r="GE15" s="95"/>
      <c r="GF15" s="95"/>
      <c r="GG15" s="95"/>
      <c r="GH15" s="95"/>
      <c r="GI15" s="95"/>
      <c r="GJ15" s="95"/>
      <c r="GK15" s="95"/>
      <c r="GL15" s="95"/>
      <c r="GM15" s="95"/>
      <c r="GN15" s="95"/>
    </row>
    <row r="16" spans="1:196" s="64" customFormat="1" x14ac:dyDescent="0.25">
      <c r="A16" s="59" t="s">
        <v>22</v>
      </c>
      <c r="B16" s="2">
        <v>340</v>
      </c>
      <c r="C16" s="45">
        <v>360</v>
      </c>
      <c r="D16" s="638">
        <v>10.5</v>
      </c>
      <c r="E16" s="100">
        <f t="shared" si="0"/>
        <v>11</v>
      </c>
      <c r="F16" s="3">
        <f t="shared" si="1"/>
        <v>3780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</row>
    <row r="17" spans="1:196" s="64" customFormat="1" x14ac:dyDescent="0.25">
      <c r="A17" s="59" t="s">
        <v>57</v>
      </c>
      <c r="B17" s="2">
        <v>340</v>
      </c>
      <c r="C17" s="45">
        <v>410</v>
      </c>
      <c r="D17" s="639">
        <v>10.8</v>
      </c>
      <c r="E17" s="100">
        <f t="shared" si="0"/>
        <v>13</v>
      </c>
      <c r="F17" s="3">
        <f t="shared" si="1"/>
        <v>4428</v>
      </c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5"/>
      <c r="BW17" s="95"/>
      <c r="BX17" s="95"/>
      <c r="BY17" s="95"/>
      <c r="BZ17" s="95"/>
      <c r="CA17" s="95"/>
      <c r="CB17" s="95"/>
      <c r="CC17" s="95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  <c r="CW17" s="95"/>
      <c r="CX17" s="95"/>
      <c r="CY17" s="95"/>
      <c r="CZ17" s="95"/>
      <c r="DA17" s="95"/>
      <c r="DB17" s="95"/>
      <c r="DC17" s="95"/>
      <c r="DD17" s="95"/>
      <c r="DE17" s="95"/>
      <c r="DF17" s="95"/>
      <c r="DG17" s="95"/>
      <c r="DH17" s="95"/>
      <c r="DI17" s="95"/>
      <c r="DJ17" s="95"/>
      <c r="DK17" s="95"/>
      <c r="DL17" s="95"/>
      <c r="DM17" s="95"/>
      <c r="DN17" s="95"/>
      <c r="DO17" s="95"/>
      <c r="DP17" s="95"/>
      <c r="DQ17" s="95"/>
      <c r="DR17" s="95"/>
      <c r="DS17" s="95"/>
      <c r="DT17" s="95"/>
      <c r="DU17" s="95"/>
      <c r="DV17" s="95"/>
      <c r="DW17" s="95"/>
      <c r="DX17" s="95"/>
      <c r="DY17" s="95"/>
      <c r="DZ17" s="95"/>
      <c r="EA17" s="95"/>
      <c r="EB17" s="95"/>
      <c r="EC17" s="95"/>
      <c r="ED17" s="95"/>
      <c r="EE17" s="95"/>
      <c r="EF17" s="95"/>
      <c r="EG17" s="95"/>
      <c r="EH17" s="95"/>
      <c r="EI17" s="95"/>
      <c r="EJ17" s="95"/>
      <c r="EK17" s="95"/>
      <c r="EL17" s="95"/>
      <c r="EM17" s="95"/>
      <c r="EN17" s="95"/>
      <c r="EO17" s="95"/>
      <c r="EP17" s="95"/>
      <c r="EQ17" s="95"/>
      <c r="ER17" s="95"/>
      <c r="ES17" s="95"/>
      <c r="ET17" s="95"/>
      <c r="EU17" s="95"/>
      <c r="EV17" s="95"/>
      <c r="EW17" s="95"/>
      <c r="EX17" s="95"/>
      <c r="EY17" s="95"/>
      <c r="EZ17" s="95"/>
      <c r="FA17" s="95"/>
      <c r="FB17" s="95"/>
      <c r="FC17" s="95"/>
      <c r="FD17" s="95"/>
      <c r="FE17" s="95"/>
      <c r="FF17" s="95"/>
      <c r="FG17" s="95"/>
      <c r="FH17" s="95"/>
      <c r="FI17" s="95"/>
      <c r="FJ17" s="95"/>
      <c r="FK17" s="95"/>
      <c r="FL17" s="95"/>
      <c r="FM17" s="95"/>
      <c r="FN17" s="95"/>
      <c r="FO17" s="95"/>
      <c r="FP17" s="95"/>
      <c r="FQ17" s="95"/>
      <c r="FR17" s="95"/>
      <c r="FS17" s="95"/>
      <c r="FT17" s="95"/>
      <c r="FU17" s="95"/>
      <c r="FV17" s="95"/>
      <c r="FW17" s="95"/>
      <c r="FX17" s="95"/>
      <c r="FY17" s="95"/>
      <c r="FZ17" s="95"/>
      <c r="GA17" s="95"/>
      <c r="GB17" s="95"/>
      <c r="GC17" s="95"/>
      <c r="GD17" s="95"/>
      <c r="GE17" s="95"/>
      <c r="GF17" s="95"/>
      <c r="GG17" s="95"/>
      <c r="GH17" s="95"/>
      <c r="GI17" s="95"/>
      <c r="GJ17" s="95"/>
      <c r="GK17" s="95"/>
      <c r="GL17" s="95"/>
      <c r="GM17" s="95"/>
      <c r="GN17" s="95"/>
    </row>
    <row r="18" spans="1:196" s="64" customFormat="1" x14ac:dyDescent="0.25">
      <c r="A18" s="59" t="s">
        <v>23</v>
      </c>
      <c r="B18" s="2">
        <v>340</v>
      </c>
      <c r="C18" s="45">
        <v>550</v>
      </c>
      <c r="D18" s="639">
        <v>5.5</v>
      </c>
      <c r="E18" s="100">
        <f t="shared" si="0"/>
        <v>9</v>
      </c>
      <c r="F18" s="3">
        <f t="shared" si="1"/>
        <v>3025</v>
      </c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5"/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95"/>
      <c r="CX18" s="95"/>
      <c r="CY18" s="95"/>
      <c r="CZ18" s="95"/>
      <c r="DA18" s="95"/>
      <c r="DB18" s="95"/>
      <c r="DC18" s="95"/>
      <c r="DD18" s="95"/>
      <c r="DE18" s="95"/>
      <c r="DF18" s="95"/>
      <c r="DG18" s="95"/>
      <c r="DH18" s="95"/>
      <c r="DI18" s="95"/>
      <c r="DJ18" s="95"/>
      <c r="DK18" s="95"/>
      <c r="DL18" s="95"/>
      <c r="DM18" s="95"/>
      <c r="DN18" s="95"/>
      <c r="DO18" s="95"/>
      <c r="DP18" s="95"/>
      <c r="DQ18" s="95"/>
      <c r="DR18" s="95"/>
      <c r="DS18" s="95"/>
      <c r="DT18" s="95"/>
      <c r="DU18" s="95"/>
      <c r="DV18" s="95"/>
      <c r="DW18" s="95"/>
      <c r="DX18" s="95"/>
      <c r="DY18" s="95"/>
      <c r="DZ18" s="95"/>
      <c r="EA18" s="95"/>
      <c r="EB18" s="95"/>
      <c r="EC18" s="95"/>
      <c r="ED18" s="95"/>
      <c r="EE18" s="95"/>
      <c r="EF18" s="95"/>
      <c r="EG18" s="95"/>
      <c r="EH18" s="95"/>
      <c r="EI18" s="95"/>
      <c r="EJ18" s="95"/>
      <c r="EK18" s="95"/>
      <c r="EL18" s="95"/>
      <c r="EM18" s="95"/>
      <c r="EN18" s="95"/>
      <c r="EO18" s="95"/>
      <c r="EP18" s="95"/>
      <c r="EQ18" s="95"/>
      <c r="ER18" s="95"/>
      <c r="ES18" s="95"/>
      <c r="ET18" s="95"/>
      <c r="EU18" s="95"/>
      <c r="EV18" s="95"/>
      <c r="EW18" s="95"/>
      <c r="EX18" s="95"/>
      <c r="EY18" s="95"/>
      <c r="EZ18" s="95"/>
      <c r="FA18" s="95"/>
      <c r="FB18" s="95"/>
      <c r="FC18" s="95"/>
      <c r="FD18" s="95"/>
      <c r="FE18" s="95"/>
      <c r="FF18" s="95"/>
      <c r="FG18" s="95"/>
      <c r="FH18" s="95"/>
      <c r="FI18" s="95"/>
      <c r="FJ18" s="95"/>
      <c r="FK18" s="95"/>
      <c r="FL18" s="95"/>
      <c r="FM18" s="95"/>
      <c r="FN18" s="95"/>
      <c r="FO18" s="95"/>
      <c r="FP18" s="95"/>
      <c r="FQ18" s="95"/>
      <c r="FR18" s="95"/>
      <c r="FS18" s="95"/>
      <c r="FT18" s="95"/>
      <c r="FU18" s="95"/>
      <c r="FV18" s="95"/>
      <c r="FW18" s="95"/>
      <c r="FX18" s="95"/>
      <c r="FY18" s="95"/>
      <c r="FZ18" s="95"/>
      <c r="GA18" s="95"/>
      <c r="GB18" s="95"/>
      <c r="GC18" s="95"/>
      <c r="GD18" s="95"/>
      <c r="GE18" s="95"/>
      <c r="GF18" s="95"/>
      <c r="GG18" s="95"/>
      <c r="GH18" s="95"/>
      <c r="GI18" s="95"/>
      <c r="GJ18" s="95"/>
      <c r="GK18" s="95"/>
      <c r="GL18" s="95"/>
      <c r="GM18" s="95"/>
      <c r="GN18" s="95"/>
    </row>
    <row r="19" spans="1:196" s="64" customFormat="1" x14ac:dyDescent="0.25">
      <c r="A19" s="106" t="s">
        <v>5</v>
      </c>
      <c r="B19" s="63"/>
      <c r="C19" s="108">
        <f>SUM(C10:C18)</f>
        <v>5530</v>
      </c>
      <c r="D19" s="107">
        <f>F19/C19</f>
        <v>8.6931283905967458</v>
      </c>
      <c r="E19" s="108">
        <f>SUM(E10:E18)</f>
        <v>149</v>
      </c>
      <c r="F19" s="47">
        <f>SUM(F10:F18)</f>
        <v>48073</v>
      </c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  <c r="CW19" s="95"/>
      <c r="CX19" s="95"/>
      <c r="CY19" s="95"/>
      <c r="CZ19" s="95"/>
      <c r="DA19" s="95"/>
      <c r="DB19" s="95"/>
      <c r="DC19" s="95"/>
      <c r="DD19" s="95"/>
      <c r="DE19" s="95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95"/>
      <c r="EN19" s="95"/>
      <c r="EO19" s="95"/>
      <c r="EP19" s="95"/>
      <c r="EQ19" s="95"/>
      <c r="ER19" s="95"/>
      <c r="ES19" s="95"/>
      <c r="ET19" s="95"/>
      <c r="EU19" s="95"/>
      <c r="EV19" s="95"/>
      <c r="EW19" s="95"/>
      <c r="EX19" s="95"/>
      <c r="EY19" s="95"/>
      <c r="EZ19" s="95"/>
      <c r="FA19" s="95"/>
      <c r="FB19" s="95"/>
      <c r="FC19" s="95"/>
      <c r="FD19" s="95"/>
      <c r="FE19" s="95"/>
      <c r="FF19" s="95"/>
      <c r="FG19" s="95"/>
      <c r="FH19" s="95"/>
      <c r="FI19" s="95"/>
      <c r="FJ19" s="95"/>
      <c r="FK19" s="95"/>
      <c r="FL19" s="95"/>
      <c r="FM19" s="95"/>
      <c r="FN19" s="95"/>
      <c r="FO19" s="95"/>
      <c r="FP19" s="95"/>
      <c r="FQ19" s="95"/>
      <c r="FR19" s="95"/>
      <c r="FS19" s="95"/>
      <c r="FT19" s="95"/>
      <c r="FU19" s="95"/>
      <c r="FV19" s="95"/>
      <c r="FW19" s="95"/>
      <c r="FX19" s="95"/>
      <c r="FY19" s="95"/>
      <c r="FZ19" s="95"/>
      <c r="GA19" s="95"/>
      <c r="GB19" s="95"/>
      <c r="GC19" s="95"/>
      <c r="GD19" s="95"/>
      <c r="GE19" s="95"/>
      <c r="GF19" s="95"/>
      <c r="GG19" s="95"/>
      <c r="GH19" s="95"/>
      <c r="GI19" s="95"/>
      <c r="GJ19" s="95"/>
      <c r="GK19" s="95"/>
      <c r="GL19" s="95"/>
      <c r="GM19" s="95"/>
      <c r="GN19" s="95"/>
    </row>
    <row r="20" spans="1:196" s="20" customFormat="1" hidden="1" x14ac:dyDescent="0.25">
      <c r="A20" s="4" t="s">
        <v>199</v>
      </c>
      <c r="B20" s="5">
        <v>350</v>
      </c>
      <c r="C20" s="13"/>
      <c r="D20" s="14"/>
      <c r="E20" s="3"/>
      <c r="F20" s="13"/>
    </row>
    <row r="21" spans="1:196" s="20" customFormat="1" ht="14.25" hidden="1" x14ac:dyDescent="0.2">
      <c r="A21" s="15" t="s">
        <v>200</v>
      </c>
      <c r="B21" s="16"/>
      <c r="C21" s="19">
        <f t="shared" ref="C21" si="2">C19+C20</f>
        <v>5530</v>
      </c>
      <c r="D21" s="17" t="e">
        <f>#REF!/#REF!</f>
        <v>#REF!</v>
      </c>
      <c r="E21" s="19">
        <f t="shared" ref="E21:F21" si="3">E19+E20</f>
        <v>149</v>
      </c>
      <c r="F21" s="19">
        <f t="shared" si="3"/>
        <v>48073</v>
      </c>
    </row>
    <row r="22" spans="1:196" s="64" customFormat="1" ht="15.75" x14ac:dyDescent="0.25">
      <c r="A22" s="640" t="s">
        <v>6</v>
      </c>
      <c r="B22" s="45"/>
      <c r="C22" s="45"/>
      <c r="D22" s="45"/>
      <c r="E22" s="45"/>
      <c r="F22" s="4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5"/>
      <c r="BP22" s="95"/>
      <c r="BQ22" s="95"/>
      <c r="BR22" s="95"/>
      <c r="BS22" s="95"/>
      <c r="BT22" s="95"/>
      <c r="BU22" s="95"/>
      <c r="BV22" s="95"/>
      <c r="BW22" s="95"/>
      <c r="BX22" s="95"/>
      <c r="BY22" s="95"/>
      <c r="BZ22" s="95"/>
      <c r="CA22" s="95"/>
      <c r="CB22" s="95"/>
      <c r="CC22" s="95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  <c r="CW22" s="95"/>
      <c r="CX22" s="95"/>
      <c r="CY22" s="95"/>
      <c r="CZ22" s="95"/>
      <c r="DA22" s="95"/>
      <c r="DB22" s="95"/>
      <c r="DC22" s="95"/>
      <c r="DD22" s="95"/>
      <c r="DE22" s="95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B22" s="95"/>
      <c r="EC22" s="95"/>
      <c r="ED22" s="95"/>
      <c r="EE22" s="95"/>
      <c r="EF22" s="95"/>
      <c r="EG22" s="95"/>
      <c r="EH22" s="95"/>
      <c r="EI22" s="95"/>
      <c r="EJ22" s="95"/>
      <c r="EK22" s="95"/>
      <c r="EL22" s="95"/>
      <c r="EM22" s="95"/>
      <c r="EN22" s="95"/>
      <c r="EO22" s="95"/>
      <c r="EP22" s="95"/>
      <c r="EQ22" s="95"/>
      <c r="ER22" s="95"/>
      <c r="ES22" s="95"/>
      <c r="ET22" s="95"/>
      <c r="EU22" s="95"/>
      <c r="EV22" s="95"/>
      <c r="EW22" s="95"/>
      <c r="EX22" s="95"/>
      <c r="EY22" s="95"/>
      <c r="EZ22" s="95"/>
      <c r="FA22" s="95"/>
      <c r="FB22" s="95"/>
      <c r="FC22" s="95"/>
      <c r="FD22" s="95"/>
      <c r="FE22" s="95"/>
      <c r="FF22" s="95"/>
      <c r="FG22" s="95"/>
      <c r="FH22" s="95"/>
      <c r="FI22" s="95"/>
      <c r="FJ22" s="95"/>
      <c r="FK22" s="95"/>
      <c r="FL22" s="95"/>
      <c r="FM22" s="95"/>
      <c r="FN22" s="95"/>
      <c r="FO22" s="95"/>
      <c r="FP22" s="95"/>
      <c r="FQ22" s="95"/>
      <c r="FR22" s="95"/>
      <c r="FS22" s="95"/>
      <c r="FT22" s="95"/>
      <c r="FU22" s="95"/>
      <c r="FV22" s="95"/>
      <c r="FW22" s="95"/>
      <c r="FX22" s="95"/>
      <c r="FY22" s="95"/>
      <c r="FZ22" s="95"/>
      <c r="GA22" s="95"/>
      <c r="GB22" s="95"/>
      <c r="GC22" s="95"/>
      <c r="GD22" s="95"/>
      <c r="GE22" s="95"/>
      <c r="GF22" s="95"/>
      <c r="GG22" s="95"/>
      <c r="GH22" s="95"/>
      <c r="GI22" s="95"/>
      <c r="GJ22" s="95"/>
      <c r="GK22" s="95"/>
      <c r="GL22" s="95"/>
      <c r="GM22" s="95"/>
      <c r="GN22" s="95"/>
    </row>
    <row r="23" spans="1:196" s="46" customFormat="1" ht="21" customHeight="1" x14ac:dyDescent="0.25">
      <c r="A23" s="21" t="s">
        <v>205</v>
      </c>
      <c r="B23" s="21"/>
      <c r="C23" s="74"/>
      <c r="D23" s="74"/>
      <c r="E23" s="74"/>
      <c r="F23" s="56"/>
    </row>
    <row r="24" spans="1:196" s="46" customFormat="1" ht="36.75" customHeight="1" x14ac:dyDescent="0.25">
      <c r="A24" s="23" t="s">
        <v>321</v>
      </c>
      <c r="B24" s="47"/>
      <c r="C24" s="45">
        <f>SUM(C26,C27,C28,C29)+C25/2.7</f>
        <v>64046.296296296299</v>
      </c>
      <c r="D24" s="51"/>
      <c r="E24" s="51"/>
      <c r="F24" s="56"/>
    </row>
    <row r="25" spans="1:196" s="46" customFormat="1" ht="15.75" customHeight="1" x14ac:dyDescent="0.25">
      <c r="A25" s="23" t="s">
        <v>286</v>
      </c>
      <c r="B25" s="28"/>
      <c r="C25" s="3">
        <f>2190+500</f>
        <v>2690</v>
      </c>
      <c r="D25" s="28"/>
      <c r="E25" s="28"/>
      <c r="F25" s="28"/>
    </row>
    <row r="26" spans="1:196" s="46" customFormat="1" ht="15.75" customHeight="1" x14ac:dyDescent="0.25">
      <c r="A26" s="48" t="s">
        <v>206</v>
      </c>
      <c r="B26" s="47"/>
      <c r="C26" s="45"/>
      <c r="D26" s="51"/>
      <c r="E26" s="51"/>
      <c r="F26" s="56"/>
    </row>
    <row r="27" spans="1:196" s="46" customFormat="1" ht="15.75" customHeight="1" x14ac:dyDescent="0.25">
      <c r="A27" s="48" t="s">
        <v>207</v>
      </c>
      <c r="B27" s="47"/>
      <c r="C27" s="13">
        <v>12500</v>
      </c>
      <c r="D27" s="51"/>
      <c r="E27" s="51"/>
      <c r="F27" s="56"/>
    </row>
    <row r="28" spans="1:196" s="46" customFormat="1" ht="15.75" customHeight="1" x14ac:dyDescent="0.25">
      <c r="A28" s="48" t="s">
        <v>208</v>
      </c>
      <c r="B28" s="47"/>
      <c r="C28" s="13">
        <v>550</v>
      </c>
      <c r="D28" s="51"/>
      <c r="E28" s="51"/>
      <c r="F28" s="56"/>
    </row>
    <row r="29" spans="1:196" s="46" customFormat="1" ht="15.75" customHeight="1" x14ac:dyDescent="0.25">
      <c r="A29" s="23" t="s">
        <v>209</v>
      </c>
      <c r="B29" s="47"/>
      <c r="C29" s="13">
        <v>50000</v>
      </c>
      <c r="D29" s="51"/>
      <c r="E29" s="51"/>
      <c r="F29" s="56"/>
    </row>
    <row r="30" spans="1:196" s="46" customFormat="1" ht="44.25" customHeight="1" x14ac:dyDescent="0.25">
      <c r="A30" s="23" t="s">
        <v>285</v>
      </c>
      <c r="B30" s="47"/>
      <c r="C30" s="13">
        <v>236</v>
      </c>
      <c r="D30" s="45"/>
      <c r="E30" s="45"/>
      <c r="F30" s="45"/>
      <c r="G30" s="75"/>
    </row>
    <row r="31" spans="1:196" s="64" customFormat="1" x14ac:dyDescent="0.25">
      <c r="A31" s="24" t="s">
        <v>118</v>
      </c>
      <c r="B31" s="45"/>
      <c r="C31" s="13">
        <f>C32+C33</f>
        <v>84400.176470588238</v>
      </c>
      <c r="D31" s="45"/>
      <c r="E31" s="45"/>
      <c r="F31" s="4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5"/>
      <c r="BP31" s="95"/>
      <c r="BQ31" s="95"/>
      <c r="BR31" s="95"/>
      <c r="BS31" s="95"/>
      <c r="BT31" s="95"/>
      <c r="BU31" s="95"/>
      <c r="BV31" s="95"/>
      <c r="BW31" s="95"/>
      <c r="BX31" s="95"/>
      <c r="BY31" s="95"/>
      <c r="BZ31" s="95"/>
      <c r="CA31" s="95"/>
      <c r="CB31" s="95"/>
      <c r="CC31" s="95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  <c r="CW31" s="95"/>
      <c r="CX31" s="95"/>
      <c r="CY31" s="95"/>
      <c r="CZ31" s="95"/>
      <c r="DA31" s="95"/>
      <c r="DB31" s="95"/>
      <c r="DC31" s="95"/>
      <c r="DD31" s="95"/>
      <c r="DE31" s="95"/>
      <c r="DF31" s="95"/>
      <c r="DG31" s="95"/>
      <c r="DH31" s="95"/>
      <c r="DI31" s="95"/>
      <c r="DJ31" s="95"/>
      <c r="DK31" s="95"/>
      <c r="DL31" s="95"/>
      <c r="DM31" s="95"/>
      <c r="DN31" s="95"/>
      <c r="DO31" s="95"/>
      <c r="DP31" s="95"/>
      <c r="DQ31" s="95"/>
      <c r="DR31" s="95"/>
      <c r="DS31" s="95"/>
      <c r="DT31" s="95"/>
      <c r="DU31" s="95"/>
      <c r="DV31" s="95"/>
      <c r="DW31" s="95"/>
      <c r="DX31" s="95"/>
      <c r="DY31" s="95"/>
      <c r="DZ31" s="95"/>
      <c r="EA31" s="95"/>
      <c r="EB31" s="95"/>
      <c r="EC31" s="95"/>
      <c r="ED31" s="95"/>
      <c r="EE31" s="95"/>
      <c r="EF31" s="95"/>
      <c r="EG31" s="95"/>
      <c r="EH31" s="95"/>
      <c r="EI31" s="95"/>
      <c r="EJ31" s="95"/>
      <c r="EK31" s="95"/>
      <c r="EL31" s="95"/>
      <c r="EM31" s="95"/>
      <c r="EN31" s="95"/>
      <c r="EO31" s="95"/>
      <c r="EP31" s="95"/>
      <c r="EQ31" s="95"/>
      <c r="ER31" s="95"/>
      <c r="ES31" s="95"/>
      <c r="ET31" s="95"/>
      <c r="EU31" s="95"/>
      <c r="EV31" s="95"/>
      <c r="EW31" s="95"/>
      <c r="EX31" s="95"/>
      <c r="EY31" s="95"/>
      <c r="EZ31" s="95"/>
      <c r="FA31" s="95"/>
      <c r="FB31" s="95"/>
      <c r="FC31" s="95"/>
      <c r="FD31" s="95"/>
      <c r="FE31" s="95"/>
      <c r="FF31" s="95"/>
      <c r="FG31" s="95"/>
      <c r="FH31" s="95"/>
      <c r="FI31" s="95"/>
      <c r="FJ31" s="95"/>
      <c r="FK31" s="95"/>
      <c r="FL31" s="95"/>
      <c r="FM31" s="95"/>
      <c r="FN31" s="95"/>
      <c r="FO31" s="95"/>
      <c r="FP31" s="95"/>
      <c r="FQ31" s="95"/>
      <c r="FR31" s="95"/>
      <c r="FS31" s="95"/>
      <c r="FT31" s="95"/>
      <c r="FU31" s="95"/>
      <c r="FV31" s="95"/>
      <c r="FW31" s="95"/>
      <c r="FX31" s="95"/>
      <c r="FY31" s="95"/>
      <c r="FZ31" s="95"/>
      <c r="GA31" s="95"/>
      <c r="GB31" s="95"/>
      <c r="GC31" s="95"/>
      <c r="GD31" s="95"/>
      <c r="GE31" s="95"/>
      <c r="GF31" s="95"/>
      <c r="GG31" s="95"/>
      <c r="GH31" s="95"/>
      <c r="GI31" s="95"/>
      <c r="GJ31" s="95"/>
      <c r="GK31" s="95"/>
      <c r="GL31" s="95"/>
      <c r="GM31" s="95"/>
      <c r="GN31" s="95"/>
    </row>
    <row r="32" spans="1:196" s="64" customFormat="1" x14ac:dyDescent="0.25">
      <c r="A32" s="24" t="s">
        <v>259</v>
      </c>
      <c r="B32" s="45"/>
      <c r="C32" s="13">
        <f>75477-1500</f>
        <v>73977</v>
      </c>
      <c r="D32" s="139"/>
      <c r="E32" s="139"/>
      <c r="F32" s="139"/>
      <c r="G32" s="109"/>
      <c r="H32" s="109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5"/>
      <c r="BP32" s="95"/>
      <c r="BQ32" s="95"/>
      <c r="BR32" s="95"/>
      <c r="BS32" s="95"/>
      <c r="BT32" s="95"/>
      <c r="BU32" s="95"/>
      <c r="BV32" s="95"/>
      <c r="BW32" s="95"/>
      <c r="BX32" s="95"/>
      <c r="BY32" s="95"/>
      <c r="BZ32" s="95"/>
      <c r="CA32" s="95"/>
      <c r="CB32" s="95"/>
      <c r="CC32" s="95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  <c r="CW32" s="95"/>
      <c r="CX32" s="95"/>
      <c r="CY32" s="95"/>
      <c r="CZ32" s="95"/>
      <c r="DA32" s="95"/>
      <c r="DB32" s="95"/>
      <c r="DC32" s="95"/>
      <c r="DD32" s="95"/>
      <c r="DE32" s="95"/>
      <c r="DF32" s="95"/>
      <c r="DG32" s="95"/>
      <c r="DH32" s="95"/>
      <c r="DI32" s="95"/>
      <c r="DJ32" s="95"/>
      <c r="DK32" s="95"/>
      <c r="DL32" s="95"/>
      <c r="DM32" s="95"/>
      <c r="DN32" s="95"/>
      <c r="DO32" s="95"/>
      <c r="DP32" s="95"/>
      <c r="DQ32" s="95"/>
      <c r="DR32" s="95"/>
      <c r="DS32" s="95"/>
      <c r="DT32" s="95"/>
      <c r="DU32" s="95"/>
      <c r="DV32" s="95"/>
      <c r="DW32" s="95"/>
      <c r="DX32" s="95"/>
      <c r="DY32" s="95"/>
      <c r="DZ32" s="95"/>
      <c r="EA32" s="95"/>
      <c r="EB32" s="95"/>
      <c r="EC32" s="95"/>
      <c r="ED32" s="95"/>
      <c r="EE32" s="95"/>
      <c r="EF32" s="95"/>
      <c r="EG32" s="95"/>
      <c r="EH32" s="95"/>
      <c r="EI32" s="95"/>
      <c r="EJ32" s="95"/>
      <c r="EK32" s="95"/>
      <c r="EL32" s="95"/>
      <c r="EM32" s="95"/>
      <c r="EN32" s="95"/>
      <c r="EO32" s="95"/>
      <c r="EP32" s="95"/>
      <c r="EQ32" s="95"/>
      <c r="ER32" s="95"/>
      <c r="ES32" s="95"/>
      <c r="ET32" s="95"/>
      <c r="EU32" s="95"/>
      <c r="EV32" s="95"/>
      <c r="EW32" s="95"/>
      <c r="EX32" s="95"/>
      <c r="EY32" s="95"/>
      <c r="EZ32" s="95"/>
      <c r="FA32" s="95"/>
      <c r="FB32" s="95"/>
      <c r="FC32" s="95"/>
      <c r="FD32" s="95"/>
      <c r="FE32" s="95"/>
      <c r="FF32" s="95"/>
      <c r="FG32" s="95"/>
      <c r="FH32" s="95"/>
      <c r="FI32" s="95"/>
      <c r="FJ32" s="95"/>
      <c r="FK32" s="95"/>
      <c r="FL32" s="95"/>
      <c r="FM32" s="95"/>
      <c r="FN32" s="95"/>
      <c r="FO32" s="95"/>
      <c r="FP32" s="95"/>
      <c r="FQ32" s="95"/>
      <c r="FR32" s="95"/>
      <c r="FS32" s="95"/>
      <c r="FT32" s="95"/>
      <c r="FU32" s="95"/>
      <c r="FV32" s="95"/>
      <c r="FW32" s="95"/>
      <c r="FX32" s="95"/>
      <c r="FY32" s="95"/>
      <c r="FZ32" s="95"/>
      <c r="GA32" s="95"/>
      <c r="GB32" s="95"/>
      <c r="GC32" s="95"/>
      <c r="GD32" s="95"/>
      <c r="GE32" s="95"/>
      <c r="GF32" s="95"/>
      <c r="GG32" s="95"/>
      <c r="GH32" s="95"/>
      <c r="GI32" s="95"/>
      <c r="GJ32" s="95"/>
      <c r="GK32" s="95"/>
      <c r="GL32" s="95"/>
      <c r="GM32" s="95"/>
      <c r="GN32" s="95"/>
    </row>
    <row r="33" spans="1:196" s="64" customFormat="1" x14ac:dyDescent="0.25">
      <c r="A33" s="24" t="s">
        <v>261</v>
      </c>
      <c r="B33" s="45"/>
      <c r="C33" s="13">
        <f>C34/8.5</f>
        <v>10423.176470588236</v>
      </c>
      <c r="D33" s="139"/>
      <c r="E33" s="139"/>
      <c r="F33" s="139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5"/>
      <c r="BP33" s="95"/>
      <c r="BQ33" s="95"/>
      <c r="BR33" s="95"/>
      <c r="BS33" s="95"/>
      <c r="BT33" s="95"/>
      <c r="BU33" s="95"/>
      <c r="BV33" s="95"/>
      <c r="BW33" s="95"/>
      <c r="BX33" s="95"/>
      <c r="BY33" s="95"/>
      <c r="BZ33" s="95"/>
      <c r="CA33" s="95"/>
      <c r="CB33" s="95"/>
      <c r="CC33" s="95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  <c r="CW33" s="95"/>
      <c r="CX33" s="95"/>
      <c r="CY33" s="95"/>
      <c r="CZ33" s="95"/>
      <c r="DA33" s="95"/>
      <c r="DB33" s="95"/>
      <c r="DC33" s="95"/>
      <c r="DD33" s="95"/>
      <c r="DE33" s="95"/>
      <c r="DF33" s="95"/>
      <c r="DG33" s="95"/>
      <c r="DH33" s="95"/>
      <c r="DI33" s="95"/>
      <c r="DJ33" s="95"/>
      <c r="DK33" s="95"/>
      <c r="DL33" s="95"/>
      <c r="DM33" s="95"/>
      <c r="DN33" s="95"/>
      <c r="DO33" s="95"/>
      <c r="DP33" s="95"/>
      <c r="DQ33" s="95"/>
      <c r="DR33" s="95"/>
      <c r="DS33" s="95"/>
      <c r="DT33" s="95"/>
      <c r="DU33" s="95"/>
      <c r="DV33" s="95"/>
      <c r="DW33" s="95"/>
      <c r="DX33" s="95"/>
      <c r="DY33" s="95"/>
      <c r="DZ33" s="95"/>
      <c r="EA33" s="95"/>
      <c r="EB33" s="95"/>
      <c r="EC33" s="95"/>
      <c r="ED33" s="95"/>
      <c r="EE33" s="95"/>
      <c r="EF33" s="95"/>
      <c r="EG33" s="95"/>
      <c r="EH33" s="95"/>
      <c r="EI33" s="95"/>
      <c r="EJ33" s="95"/>
      <c r="EK33" s="95"/>
      <c r="EL33" s="95"/>
      <c r="EM33" s="95"/>
      <c r="EN33" s="95"/>
      <c r="EO33" s="95"/>
      <c r="EP33" s="95"/>
      <c r="EQ33" s="95"/>
      <c r="ER33" s="95"/>
      <c r="ES33" s="95"/>
      <c r="ET33" s="95"/>
      <c r="EU33" s="95"/>
      <c r="EV33" s="95"/>
      <c r="EW33" s="95"/>
      <c r="EX33" s="95"/>
      <c r="EY33" s="95"/>
      <c r="EZ33" s="95"/>
      <c r="FA33" s="95"/>
      <c r="FB33" s="95"/>
      <c r="FC33" s="95"/>
      <c r="FD33" s="95"/>
      <c r="FE33" s="95"/>
      <c r="FF33" s="95"/>
      <c r="FG33" s="95"/>
      <c r="FH33" s="95"/>
      <c r="FI33" s="95"/>
      <c r="FJ33" s="95"/>
      <c r="FK33" s="95"/>
      <c r="FL33" s="95"/>
      <c r="FM33" s="95"/>
      <c r="FN33" s="95"/>
      <c r="FO33" s="95"/>
      <c r="FP33" s="95"/>
      <c r="FQ33" s="95"/>
      <c r="FR33" s="95"/>
      <c r="FS33" s="95"/>
      <c r="FT33" s="95"/>
      <c r="FU33" s="95"/>
      <c r="FV33" s="95"/>
      <c r="FW33" s="95"/>
      <c r="FX33" s="95"/>
      <c r="FY33" s="95"/>
      <c r="FZ33" s="95"/>
      <c r="GA33" s="95"/>
      <c r="GB33" s="95"/>
      <c r="GC33" s="95"/>
      <c r="GD33" s="95"/>
      <c r="GE33" s="95"/>
      <c r="GF33" s="95"/>
      <c r="GG33" s="95"/>
      <c r="GH33" s="95"/>
      <c r="GI33" s="95"/>
      <c r="GJ33" s="95"/>
      <c r="GK33" s="95"/>
      <c r="GL33" s="95"/>
      <c r="GM33" s="95"/>
      <c r="GN33" s="95"/>
    </row>
    <row r="34" spans="1:196" s="130" customFormat="1" x14ac:dyDescent="0.25">
      <c r="A34" s="44" t="s">
        <v>260</v>
      </c>
      <c r="B34" s="47"/>
      <c r="C34" s="3">
        <v>88597</v>
      </c>
      <c r="D34" s="136"/>
      <c r="E34" s="136"/>
      <c r="F34" s="136"/>
      <c r="G34" s="110"/>
      <c r="H34" s="110"/>
    </row>
    <row r="35" spans="1:196" s="130" customFormat="1" x14ac:dyDescent="0.25">
      <c r="A35" s="49" t="s">
        <v>210</v>
      </c>
      <c r="B35" s="50"/>
      <c r="C35" s="18">
        <f>C24+ROUND(C32*3.2,0)+C34/3.9</f>
        <v>323489.47578347579</v>
      </c>
      <c r="D35" s="136"/>
      <c r="E35" s="136"/>
      <c r="F35" s="136"/>
    </row>
    <row r="36" spans="1:196" s="130" customFormat="1" x14ac:dyDescent="0.25">
      <c r="A36" s="21" t="s">
        <v>153</v>
      </c>
      <c r="B36" s="22"/>
      <c r="C36" s="47"/>
      <c r="D36" s="136"/>
      <c r="E36" s="136"/>
      <c r="F36" s="136"/>
    </row>
    <row r="37" spans="1:196" s="130" customFormat="1" ht="27" customHeight="1" x14ac:dyDescent="0.25">
      <c r="A37" s="23" t="s">
        <v>321</v>
      </c>
      <c r="B37" s="22"/>
      <c r="C37" s="3">
        <f>SUM(C38,C39,C48,C55,C56)</f>
        <v>53967</v>
      </c>
      <c r="D37" s="136"/>
      <c r="E37" s="136"/>
      <c r="F37" s="136"/>
    </row>
    <row r="38" spans="1:196" s="130" customFormat="1" ht="17.25" customHeight="1" x14ac:dyDescent="0.25">
      <c r="A38" s="23" t="s">
        <v>206</v>
      </c>
      <c r="B38" s="22"/>
      <c r="C38" s="3"/>
      <c r="D38" s="136"/>
      <c r="E38" s="136"/>
      <c r="F38" s="136"/>
    </row>
    <row r="39" spans="1:196" s="130" customFormat="1" ht="32.25" customHeight="1" x14ac:dyDescent="0.25">
      <c r="A39" s="48" t="s">
        <v>211</v>
      </c>
      <c r="B39" s="22"/>
      <c r="C39" s="3">
        <f>C40+C42+C43+C45+C41</f>
        <v>13249</v>
      </c>
      <c r="D39" s="136"/>
      <c r="E39" s="136"/>
      <c r="F39" s="136"/>
    </row>
    <row r="40" spans="1:196" s="130" customFormat="1" ht="30" x14ac:dyDescent="0.25">
      <c r="A40" s="52" t="s">
        <v>212</v>
      </c>
      <c r="B40" s="22"/>
      <c r="C40" s="42">
        <f>9768-C41-1968</f>
        <v>5800</v>
      </c>
      <c r="D40" s="136"/>
      <c r="E40" s="136"/>
      <c r="F40" s="136"/>
    </row>
    <row r="41" spans="1:196" s="130" customFormat="1" ht="45" x14ac:dyDescent="0.25">
      <c r="A41" s="48" t="s">
        <v>333</v>
      </c>
      <c r="B41" s="22"/>
      <c r="C41" s="42">
        <f>3500-1500</f>
        <v>2000</v>
      </c>
      <c r="D41" s="136"/>
      <c r="E41" s="136"/>
      <c r="F41" s="136"/>
    </row>
    <row r="42" spans="1:196" s="130" customFormat="1" ht="30" x14ac:dyDescent="0.25">
      <c r="A42" s="52" t="s">
        <v>213</v>
      </c>
      <c r="B42" s="22"/>
      <c r="C42" s="42">
        <v>2870</v>
      </c>
      <c r="D42" s="136"/>
      <c r="E42" s="136"/>
      <c r="F42" s="136"/>
    </row>
    <row r="43" spans="1:196" s="130" customFormat="1" ht="45" x14ac:dyDescent="0.25">
      <c r="A43" s="52" t="s">
        <v>214</v>
      </c>
      <c r="B43" s="22"/>
      <c r="C43" s="42">
        <v>1258</v>
      </c>
      <c r="D43" s="136"/>
      <c r="E43" s="136"/>
      <c r="F43" s="136"/>
    </row>
    <row r="44" spans="1:196" s="130" customFormat="1" x14ac:dyDescent="0.25">
      <c r="A44" s="52" t="s">
        <v>215</v>
      </c>
      <c r="B44" s="22"/>
      <c r="C44" s="42">
        <v>75</v>
      </c>
      <c r="D44" s="136"/>
      <c r="E44" s="136"/>
      <c r="F44" s="136"/>
    </row>
    <row r="45" spans="1:196" s="130" customFormat="1" ht="30" x14ac:dyDescent="0.25">
      <c r="A45" s="52" t="s">
        <v>216</v>
      </c>
      <c r="B45" s="22"/>
      <c r="C45" s="42">
        <v>1321</v>
      </c>
      <c r="D45" s="136"/>
      <c r="E45" s="136"/>
      <c r="F45" s="136"/>
    </row>
    <row r="46" spans="1:196" s="130" customFormat="1" x14ac:dyDescent="0.25">
      <c r="A46" s="52" t="s">
        <v>215</v>
      </c>
      <c r="B46" s="22"/>
      <c r="C46" s="42">
        <v>371</v>
      </c>
      <c r="D46" s="136"/>
      <c r="E46" s="136"/>
      <c r="F46" s="136"/>
    </row>
    <row r="47" spans="1:196" s="130" customFormat="1" ht="45" x14ac:dyDescent="0.25">
      <c r="A47" s="52" t="s">
        <v>334</v>
      </c>
      <c r="B47" s="22"/>
      <c r="C47" s="42">
        <v>71</v>
      </c>
      <c r="D47" s="136"/>
      <c r="E47" s="136"/>
      <c r="F47" s="136"/>
    </row>
    <row r="48" spans="1:196" s="130" customFormat="1" ht="45" x14ac:dyDescent="0.25">
      <c r="A48" s="48" t="s">
        <v>217</v>
      </c>
      <c r="B48" s="22"/>
      <c r="C48" s="42">
        <f>C49+C51+C53</f>
        <v>40718</v>
      </c>
      <c r="D48" s="136"/>
      <c r="E48" s="136"/>
      <c r="F48" s="136"/>
    </row>
    <row r="49" spans="1:196" s="130" customFormat="1" ht="30" x14ac:dyDescent="0.25">
      <c r="A49" s="52" t="s">
        <v>218</v>
      </c>
      <c r="B49" s="22"/>
      <c r="C49" s="3">
        <v>8052</v>
      </c>
      <c r="D49" s="136"/>
      <c r="E49" s="136"/>
      <c r="F49" s="136"/>
    </row>
    <row r="50" spans="1:196" s="130" customFormat="1" ht="45" x14ac:dyDescent="0.25">
      <c r="A50" s="52" t="s">
        <v>335</v>
      </c>
      <c r="B50" s="22"/>
      <c r="C50" s="3">
        <v>500</v>
      </c>
      <c r="D50" s="136"/>
      <c r="E50" s="136"/>
      <c r="F50" s="136"/>
    </row>
    <row r="51" spans="1:196" s="130" customFormat="1" ht="60" x14ac:dyDescent="0.25">
      <c r="A51" s="52" t="s">
        <v>219</v>
      </c>
      <c r="B51" s="22"/>
      <c r="C51" s="42">
        <v>21372</v>
      </c>
      <c r="D51" s="136"/>
      <c r="E51" s="136"/>
      <c r="F51" s="136"/>
    </row>
    <row r="52" spans="1:196" s="130" customFormat="1" x14ac:dyDescent="0.25">
      <c r="A52" s="52" t="s">
        <v>215</v>
      </c>
      <c r="B52" s="22"/>
      <c r="C52" s="42">
        <v>9500</v>
      </c>
      <c r="D52" s="136"/>
      <c r="E52" s="136"/>
      <c r="F52" s="136"/>
    </row>
    <row r="53" spans="1:196" s="130" customFormat="1" ht="45" x14ac:dyDescent="0.25">
      <c r="A53" s="52" t="s">
        <v>220</v>
      </c>
      <c r="B53" s="22"/>
      <c r="C53" s="42">
        <v>11294</v>
      </c>
      <c r="D53" s="136"/>
      <c r="E53" s="136"/>
      <c r="F53" s="136"/>
    </row>
    <row r="54" spans="1:196" s="130" customFormat="1" x14ac:dyDescent="0.25">
      <c r="A54" s="52" t="s">
        <v>215</v>
      </c>
      <c r="B54" s="22"/>
      <c r="C54" s="42">
        <v>4070</v>
      </c>
      <c r="D54" s="136"/>
      <c r="E54" s="136"/>
      <c r="F54" s="136"/>
    </row>
    <row r="55" spans="1:196" s="130" customFormat="1" ht="30" x14ac:dyDescent="0.25">
      <c r="A55" s="48" t="s">
        <v>222</v>
      </c>
      <c r="B55" s="22"/>
      <c r="C55" s="42"/>
      <c r="D55" s="136"/>
      <c r="E55" s="136"/>
      <c r="F55" s="136"/>
    </row>
    <row r="56" spans="1:196" s="130" customFormat="1" x14ac:dyDescent="0.25">
      <c r="A56" s="23" t="s">
        <v>223</v>
      </c>
      <c r="B56" s="22"/>
      <c r="C56" s="42"/>
      <c r="D56" s="136"/>
      <c r="E56" s="136"/>
      <c r="F56" s="136"/>
    </row>
    <row r="57" spans="1:196" s="130" customFormat="1" x14ac:dyDescent="0.25">
      <c r="A57" s="24" t="s">
        <v>118</v>
      </c>
      <c r="B57" s="47"/>
      <c r="C57" s="42"/>
      <c r="D57" s="136"/>
      <c r="E57" s="136"/>
      <c r="F57" s="136"/>
    </row>
    <row r="58" spans="1:196" s="130" customFormat="1" x14ac:dyDescent="0.25">
      <c r="A58" s="44" t="s">
        <v>150</v>
      </c>
      <c r="B58" s="47"/>
      <c r="C58" s="3"/>
      <c r="D58" s="136"/>
      <c r="E58" s="136"/>
      <c r="F58" s="136"/>
    </row>
    <row r="59" spans="1:196" s="64" customFormat="1" ht="30" x14ac:dyDescent="0.25">
      <c r="A59" s="24" t="s">
        <v>119</v>
      </c>
      <c r="B59" s="45"/>
      <c r="C59" s="3">
        <f>31200-C61</f>
        <v>30800</v>
      </c>
      <c r="D59" s="45"/>
      <c r="E59" s="45"/>
      <c r="F59" s="45"/>
      <c r="G59" s="95"/>
      <c r="H59" s="117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</row>
    <row r="60" spans="1:196" s="46" customFormat="1" ht="30" x14ac:dyDescent="0.25">
      <c r="A60" s="137" t="s">
        <v>224</v>
      </c>
      <c r="B60" s="22"/>
      <c r="C60" s="3">
        <v>670</v>
      </c>
      <c r="D60" s="45"/>
      <c r="E60" s="45"/>
      <c r="F60" s="45"/>
    </row>
    <row r="61" spans="1:196" s="46" customFormat="1" ht="66.75" customHeight="1" x14ac:dyDescent="0.25">
      <c r="A61" s="24" t="s">
        <v>296</v>
      </c>
      <c r="B61" s="22"/>
      <c r="C61" s="3">
        <v>400</v>
      </c>
      <c r="D61" s="45"/>
      <c r="E61" s="45"/>
      <c r="F61" s="45"/>
    </row>
    <row r="62" spans="1:196" s="46" customFormat="1" x14ac:dyDescent="0.25">
      <c r="A62" s="54" t="s">
        <v>152</v>
      </c>
      <c r="B62" s="22"/>
      <c r="C62" s="18">
        <f>C37+ROUND(C57*3.2,0)+C59+C61</f>
        <v>85167</v>
      </c>
      <c r="D62" s="45"/>
      <c r="E62" s="45"/>
      <c r="F62" s="45"/>
    </row>
    <row r="63" spans="1:196" s="46" customFormat="1" ht="17.25" customHeight="1" x14ac:dyDescent="0.25">
      <c r="A63" s="191" t="s">
        <v>151</v>
      </c>
      <c r="B63" s="22"/>
      <c r="C63" s="18">
        <f>SUM(C35,C62)</f>
        <v>408656.47578347579</v>
      </c>
      <c r="D63" s="45"/>
      <c r="E63" s="45"/>
      <c r="F63" s="45"/>
    </row>
    <row r="64" spans="1:196" s="46" customFormat="1" ht="15.75" x14ac:dyDescent="0.25">
      <c r="A64" s="563" t="s">
        <v>120</v>
      </c>
      <c r="B64" s="22"/>
      <c r="C64" s="202">
        <f>SUM(C65:C66)</f>
        <v>1200</v>
      </c>
      <c r="D64" s="51"/>
      <c r="E64" s="51"/>
      <c r="F64" s="56"/>
    </row>
    <row r="65" spans="1:196" s="46" customFormat="1" x14ac:dyDescent="0.25">
      <c r="A65" s="137" t="s">
        <v>19</v>
      </c>
      <c r="B65" s="22"/>
      <c r="C65" s="3">
        <v>1000</v>
      </c>
      <c r="D65" s="51"/>
      <c r="E65" s="51"/>
      <c r="F65" s="56"/>
    </row>
    <row r="66" spans="1:196" s="46" customFormat="1" ht="30" x14ac:dyDescent="0.25">
      <c r="A66" s="137" t="s">
        <v>250</v>
      </c>
      <c r="B66" s="22"/>
      <c r="C66" s="3">
        <v>200</v>
      </c>
      <c r="D66" s="51"/>
      <c r="E66" s="51"/>
      <c r="F66" s="56"/>
    </row>
    <row r="67" spans="1:196" s="64" customFormat="1" x14ac:dyDescent="0.25">
      <c r="A67" s="34" t="s">
        <v>7</v>
      </c>
      <c r="B67" s="63"/>
      <c r="C67" s="45"/>
      <c r="D67" s="45"/>
      <c r="E67" s="45"/>
      <c r="F67" s="45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95"/>
      <c r="GB67" s="95"/>
      <c r="GC67" s="95"/>
      <c r="GD67" s="95"/>
      <c r="GE67" s="95"/>
      <c r="GF67" s="95"/>
      <c r="GG67" s="95"/>
      <c r="GH67" s="95"/>
      <c r="GI67" s="95"/>
      <c r="GJ67" s="95"/>
      <c r="GK67" s="95"/>
      <c r="GL67" s="95"/>
      <c r="GM67" s="95"/>
      <c r="GN67" s="95"/>
    </row>
    <row r="68" spans="1:196" s="64" customFormat="1" x14ac:dyDescent="0.25">
      <c r="A68" s="86" t="s">
        <v>139</v>
      </c>
      <c r="B68" s="63"/>
      <c r="C68" s="45"/>
      <c r="D68" s="45"/>
      <c r="E68" s="45"/>
      <c r="F68" s="4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95"/>
      <c r="GB68" s="95"/>
      <c r="GC68" s="95"/>
      <c r="GD68" s="95"/>
      <c r="GE68" s="95"/>
      <c r="GF68" s="95"/>
      <c r="GG68" s="95"/>
      <c r="GH68" s="95"/>
      <c r="GI68" s="95"/>
      <c r="GJ68" s="95"/>
      <c r="GK68" s="95"/>
      <c r="GL68" s="95"/>
      <c r="GM68" s="95"/>
      <c r="GN68" s="95"/>
    </row>
    <row r="69" spans="1:196" s="64" customFormat="1" x14ac:dyDescent="0.25">
      <c r="A69" s="29" t="s">
        <v>26</v>
      </c>
      <c r="B69" s="2">
        <v>300</v>
      </c>
      <c r="C69" s="45">
        <v>450</v>
      </c>
      <c r="D69" s="641">
        <v>10</v>
      </c>
      <c r="E69" s="100">
        <f>ROUND(F69/B69,0)</f>
        <v>15</v>
      </c>
      <c r="F69" s="3">
        <f>ROUND(C69*D69,0)</f>
        <v>4500</v>
      </c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95"/>
      <c r="GB69" s="95"/>
      <c r="GC69" s="95"/>
      <c r="GD69" s="95"/>
      <c r="GE69" s="95"/>
      <c r="GF69" s="95"/>
      <c r="GG69" s="95"/>
      <c r="GH69" s="95"/>
      <c r="GI69" s="95"/>
      <c r="GJ69" s="95"/>
      <c r="GK69" s="95"/>
      <c r="GL69" s="95"/>
      <c r="GM69" s="95"/>
      <c r="GN69" s="95"/>
    </row>
    <row r="70" spans="1:196" s="64" customFormat="1" x14ac:dyDescent="0.25">
      <c r="A70" s="29" t="s">
        <v>11</v>
      </c>
      <c r="B70" s="2">
        <v>300</v>
      </c>
      <c r="C70" s="45">
        <v>165</v>
      </c>
      <c r="D70" s="641">
        <v>8.5</v>
      </c>
      <c r="E70" s="100">
        <f t="shared" ref="E70:E74" si="4">ROUND(F70/B70,0)</f>
        <v>5</v>
      </c>
      <c r="F70" s="3">
        <f t="shared" ref="F70:F74" si="5">ROUND(C70*D70,0)</f>
        <v>1403</v>
      </c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</row>
    <row r="71" spans="1:196" s="64" customFormat="1" x14ac:dyDescent="0.25">
      <c r="A71" s="29" t="s">
        <v>57</v>
      </c>
      <c r="B71" s="2">
        <v>300</v>
      </c>
      <c r="C71" s="45">
        <v>180</v>
      </c>
      <c r="D71" s="641">
        <v>10</v>
      </c>
      <c r="E71" s="100">
        <f t="shared" si="4"/>
        <v>6</v>
      </c>
      <c r="F71" s="3">
        <f t="shared" si="5"/>
        <v>1800</v>
      </c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</row>
    <row r="72" spans="1:196" s="64" customFormat="1" x14ac:dyDescent="0.25">
      <c r="A72" s="29" t="s">
        <v>24</v>
      </c>
      <c r="B72" s="2">
        <v>300</v>
      </c>
      <c r="C72" s="45">
        <v>70</v>
      </c>
      <c r="D72" s="641">
        <v>8</v>
      </c>
      <c r="E72" s="100">
        <f t="shared" si="4"/>
        <v>2</v>
      </c>
      <c r="F72" s="3">
        <f t="shared" si="5"/>
        <v>560</v>
      </c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</row>
    <row r="73" spans="1:196" s="64" customFormat="1" x14ac:dyDescent="0.25">
      <c r="A73" s="29" t="s">
        <v>23</v>
      </c>
      <c r="B73" s="2">
        <v>300</v>
      </c>
      <c r="C73" s="45">
        <v>30</v>
      </c>
      <c r="D73" s="641">
        <v>6.3</v>
      </c>
      <c r="E73" s="100">
        <f t="shared" si="4"/>
        <v>1</v>
      </c>
      <c r="F73" s="3">
        <f t="shared" si="5"/>
        <v>189</v>
      </c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</row>
    <row r="74" spans="1:196" s="64" customFormat="1" x14ac:dyDescent="0.25">
      <c r="A74" s="29" t="s">
        <v>21</v>
      </c>
      <c r="B74" s="2">
        <v>300</v>
      </c>
      <c r="C74" s="45">
        <v>440</v>
      </c>
      <c r="D74" s="641">
        <v>10.7</v>
      </c>
      <c r="E74" s="100">
        <f t="shared" si="4"/>
        <v>16</v>
      </c>
      <c r="F74" s="3">
        <f t="shared" si="5"/>
        <v>4708</v>
      </c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</row>
    <row r="75" spans="1:196" s="64" customFormat="1" x14ac:dyDescent="0.25">
      <c r="A75" s="34" t="s">
        <v>9</v>
      </c>
      <c r="B75" s="63"/>
      <c r="C75" s="594">
        <f>SUM(C69:C74)</f>
        <v>1335</v>
      </c>
      <c r="D75" s="107">
        <f>F75/C75</f>
        <v>9.8576779026217221</v>
      </c>
      <c r="E75" s="594">
        <f>SUM(E69:E74)</f>
        <v>45</v>
      </c>
      <c r="F75" s="594">
        <f>SUM(F69:F74)</f>
        <v>13160</v>
      </c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</row>
    <row r="76" spans="1:196" s="64" customFormat="1" x14ac:dyDescent="0.25">
      <c r="A76" s="180" t="s">
        <v>20</v>
      </c>
      <c r="B76" s="63"/>
      <c r="C76" s="101"/>
      <c r="D76" s="102"/>
      <c r="E76" s="101"/>
      <c r="F76" s="101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95"/>
      <c r="GB76" s="95"/>
      <c r="GC76" s="95"/>
      <c r="GD76" s="95"/>
      <c r="GE76" s="95"/>
      <c r="GF76" s="95"/>
      <c r="GG76" s="95"/>
      <c r="GH76" s="95"/>
      <c r="GI76" s="95"/>
      <c r="GJ76" s="95"/>
      <c r="GK76" s="95"/>
      <c r="GL76" s="95"/>
      <c r="GM76" s="95"/>
      <c r="GN76" s="95"/>
    </row>
    <row r="77" spans="1:196" s="64" customFormat="1" x14ac:dyDescent="0.25">
      <c r="A77" s="1" t="s">
        <v>37</v>
      </c>
      <c r="B77" s="2">
        <v>240</v>
      </c>
      <c r="C77" s="45">
        <v>1220</v>
      </c>
      <c r="D77" s="641">
        <v>8</v>
      </c>
      <c r="E77" s="100">
        <f>ROUND(F77/B77,0)</f>
        <v>41</v>
      </c>
      <c r="F77" s="3">
        <f>ROUND(C77*D77,0)</f>
        <v>9760</v>
      </c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</row>
    <row r="78" spans="1:196" s="64" customFormat="1" x14ac:dyDescent="0.25">
      <c r="A78" s="1" t="s">
        <v>26</v>
      </c>
      <c r="B78" s="2">
        <v>240</v>
      </c>
      <c r="C78" s="45">
        <v>100</v>
      </c>
      <c r="D78" s="641">
        <v>8</v>
      </c>
      <c r="E78" s="100">
        <f>ROUND(F78/B78,0)</f>
        <v>3</v>
      </c>
      <c r="F78" s="3">
        <f>ROUND(C78*D78,0)</f>
        <v>800</v>
      </c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</row>
    <row r="79" spans="1:196" s="64" customFormat="1" x14ac:dyDescent="0.25">
      <c r="A79" s="1" t="s">
        <v>11</v>
      </c>
      <c r="B79" s="2">
        <v>240</v>
      </c>
      <c r="C79" s="45">
        <v>780</v>
      </c>
      <c r="D79" s="641">
        <v>3</v>
      </c>
      <c r="E79" s="100">
        <f>ROUND(F79/B79,0)</f>
        <v>10</v>
      </c>
      <c r="F79" s="3">
        <f>ROUND(C79*D79,0)</f>
        <v>2340</v>
      </c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95"/>
      <c r="GB79" s="95"/>
      <c r="GC79" s="95"/>
      <c r="GD79" s="95"/>
      <c r="GE79" s="95"/>
      <c r="GF79" s="95"/>
      <c r="GG79" s="95"/>
      <c r="GH79" s="95"/>
      <c r="GI79" s="95"/>
      <c r="GJ79" s="95"/>
      <c r="GK79" s="95"/>
      <c r="GL79" s="95"/>
      <c r="GM79" s="95"/>
      <c r="GN79" s="95"/>
    </row>
    <row r="80" spans="1:196" s="64" customFormat="1" x14ac:dyDescent="0.25">
      <c r="A80" s="192" t="s">
        <v>141</v>
      </c>
      <c r="B80" s="2"/>
      <c r="C80" s="93">
        <f>C77+C79+C78</f>
        <v>2100</v>
      </c>
      <c r="D80" s="107">
        <f t="shared" ref="D80:D81" si="6">F80/C80</f>
        <v>6.1428571428571432</v>
      </c>
      <c r="E80" s="93">
        <f t="shared" ref="E80:F80" si="7">E77+E79+E78</f>
        <v>54</v>
      </c>
      <c r="F80" s="93">
        <f t="shared" si="7"/>
        <v>12900</v>
      </c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95"/>
      <c r="AZ80" s="95"/>
      <c r="BA80" s="95"/>
      <c r="BB80" s="95"/>
      <c r="BC80" s="95"/>
      <c r="BD80" s="95"/>
      <c r="BE80" s="95"/>
      <c r="BF80" s="95"/>
      <c r="BG80" s="95"/>
      <c r="BH80" s="95"/>
      <c r="BI80" s="95"/>
      <c r="BJ80" s="95"/>
      <c r="BK80" s="95"/>
      <c r="BL80" s="95"/>
      <c r="BM80" s="95"/>
      <c r="BN80" s="95"/>
      <c r="BO80" s="95"/>
      <c r="BP80" s="95"/>
      <c r="BQ80" s="95"/>
      <c r="BR80" s="95"/>
      <c r="BS80" s="95"/>
      <c r="BT80" s="95"/>
      <c r="BU80" s="95"/>
      <c r="BV80" s="95"/>
      <c r="BW80" s="95"/>
      <c r="BX80" s="95"/>
      <c r="BY80" s="95"/>
      <c r="BZ80" s="95"/>
      <c r="CA80" s="95"/>
      <c r="CB80" s="95"/>
      <c r="CC80" s="95"/>
      <c r="CD80" s="95"/>
      <c r="CE80" s="95"/>
      <c r="CF80" s="95"/>
      <c r="CG80" s="95"/>
      <c r="CH80" s="95"/>
      <c r="CI80" s="95"/>
      <c r="CJ80" s="95"/>
      <c r="CK80" s="95"/>
      <c r="CL80" s="95"/>
      <c r="CM80" s="95"/>
      <c r="CN80" s="95"/>
      <c r="CO80" s="95"/>
      <c r="CP80" s="95"/>
      <c r="CQ80" s="95"/>
      <c r="CR80" s="95"/>
      <c r="CS80" s="95"/>
      <c r="CT80" s="95"/>
      <c r="CU80" s="95"/>
      <c r="CV80" s="95"/>
      <c r="CW80" s="95"/>
      <c r="CX80" s="95"/>
      <c r="CY80" s="95"/>
      <c r="CZ80" s="95"/>
      <c r="DA80" s="95"/>
      <c r="DB80" s="95"/>
      <c r="DC80" s="95"/>
      <c r="DD80" s="95"/>
      <c r="DE80" s="95"/>
      <c r="DF80" s="95"/>
      <c r="DG80" s="95"/>
      <c r="DH80" s="95"/>
      <c r="DI80" s="95"/>
      <c r="DJ80" s="95"/>
      <c r="DK80" s="95"/>
      <c r="DL80" s="95"/>
      <c r="DM80" s="95"/>
      <c r="DN80" s="95"/>
      <c r="DO80" s="95"/>
      <c r="DP80" s="95"/>
      <c r="DQ80" s="95"/>
      <c r="DR80" s="95"/>
      <c r="DS80" s="95"/>
      <c r="DT80" s="95"/>
      <c r="DU80" s="95"/>
      <c r="DV80" s="95"/>
      <c r="DW80" s="95"/>
      <c r="DX80" s="95"/>
      <c r="DY80" s="95"/>
      <c r="DZ80" s="95"/>
      <c r="EA80" s="95"/>
      <c r="EB80" s="95"/>
      <c r="EC80" s="95"/>
      <c r="ED80" s="95"/>
      <c r="EE80" s="95"/>
      <c r="EF80" s="95"/>
      <c r="EG80" s="95"/>
      <c r="EH80" s="95"/>
      <c r="EI80" s="95"/>
      <c r="EJ80" s="95"/>
      <c r="EK80" s="95"/>
      <c r="EL80" s="95"/>
      <c r="EM80" s="95"/>
      <c r="EN80" s="95"/>
      <c r="EO80" s="95"/>
      <c r="EP80" s="95"/>
      <c r="EQ80" s="95"/>
      <c r="ER80" s="95"/>
      <c r="ES80" s="95"/>
      <c r="ET80" s="95"/>
      <c r="EU80" s="95"/>
      <c r="EV80" s="95"/>
      <c r="EW80" s="95"/>
      <c r="EX80" s="95"/>
      <c r="EY80" s="95"/>
      <c r="EZ80" s="95"/>
      <c r="FA80" s="95"/>
      <c r="FB80" s="95"/>
      <c r="FC80" s="95"/>
      <c r="FD80" s="95"/>
      <c r="FE80" s="95"/>
      <c r="FF80" s="95"/>
      <c r="FG80" s="95"/>
      <c r="FH80" s="95"/>
      <c r="FI80" s="95"/>
      <c r="FJ80" s="95"/>
      <c r="FK80" s="95"/>
      <c r="FL80" s="95"/>
      <c r="FM80" s="95"/>
      <c r="FN80" s="95"/>
      <c r="FO80" s="95"/>
      <c r="FP80" s="95"/>
      <c r="FQ80" s="95"/>
      <c r="FR80" s="95"/>
      <c r="FS80" s="95"/>
      <c r="FT80" s="95"/>
      <c r="FU80" s="95"/>
      <c r="FV80" s="95"/>
      <c r="FW80" s="95"/>
      <c r="FX80" s="95"/>
      <c r="FY80" s="95"/>
      <c r="FZ80" s="95"/>
      <c r="GA80" s="95"/>
      <c r="GB80" s="95"/>
      <c r="GC80" s="95"/>
      <c r="GD80" s="95"/>
      <c r="GE80" s="95"/>
      <c r="GF80" s="95"/>
      <c r="GG80" s="95"/>
      <c r="GH80" s="95"/>
      <c r="GI80" s="95"/>
      <c r="GJ80" s="95"/>
      <c r="GK80" s="95"/>
      <c r="GL80" s="95"/>
      <c r="GM80" s="95"/>
      <c r="GN80" s="95"/>
    </row>
    <row r="81" spans="1:196" s="64" customFormat="1" ht="15" customHeight="1" x14ac:dyDescent="0.25">
      <c r="A81" s="636" t="s">
        <v>116</v>
      </c>
      <c r="B81" s="108"/>
      <c r="C81" s="47">
        <f>C75+C80</f>
        <v>3435</v>
      </c>
      <c r="D81" s="107">
        <f t="shared" si="6"/>
        <v>7.5866084425036391</v>
      </c>
      <c r="E81" s="47">
        <f>E75+E80</f>
        <v>99</v>
      </c>
      <c r="F81" s="47">
        <f>F75+F80</f>
        <v>26060</v>
      </c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  <c r="BM81" s="95"/>
      <c r="BN81" s="95"/>
      <c r="BO81" s="95"/>
      <c r="BP81" s="95"/>
      <c r="BQ81" s="95"/>
      <c r="BR81" s="95"/>
      <c r="BS81" s="95"/>
      <c r="BT81" s="95"/>
      <c r="BU81" s="95"/>
      <c r="BV81" s="95"/>
      <c r="BW81" s="95"/>
      <c r="BX81" s="95"/>
      <c r="BY81" s="95"/>
      <c r="BZ81" s="95"/>
      <c r="CA81" s="95"/>
      <c r="CB81" s="95"/>
      <c r="CC81" s="95"/>
      <c r="CD81" s="95"/>
      <c r="CE81" s="95"/>
      <c r="CF81" s="95"/>
      <c r="CG81" s="95"/>
      <c r="CH81" s="95"/>
      <c r="CI81" s="95"/>
      <c r="CJ81" s="95"/>
      <c r="CK81" s="95"/>
      <c r="CL81" s="95"/>
      <c r="CM81" s="95"/>
      <c r="CN81" s="95"/>
      <c r="CO81" s="95"/>
      <c r="CP81" s="95"/>
      <c r="CQ81" s="95"/>
      <c r="CR81" s="95"/>
      <c r="CS81" s="95"/>
      <c r="CT81" s="95"/>
      <c r="CU81" s="95"/>
      <c r="CV81" s="95"/>
      <c r="CW81" s="95"/>
      <c r="CX81" s="95"/>
      <c r="CY81" s="95"/>
      <c r="CZ81" s="95"/>
      <c r="DA81" s="95"/>
      <c r="DB81" s="95"/>
      <c r="DC81" s="95"/>
      <c r="DD81" s="95"/>
      <c r="DE81" s="95"/>
      <c r="DF81" s="95"/>
      <c r="DG81" s="95"/>
      <c r="DH81" s="95"/>
      <c r="DI81" s="95"/>
      <c r="DJ81" s="95"/>
      <c r="DK81" s="95"/>
      <c r="DL81" s="95"/>
      <c r="DM81" s="95"/>
      <c r="DN81" s="95"/>
      <c r="DO81" s="95"/>
      <c r="DP81" s="95"/>
      <c r="DQ81" s="95"/>
      <c r="DR81" s="95"/>
      <c r="DS81" s="95"/>
      <c r="DT81" s="95"/>
      <c r="DU81" s="95"/>
      <c r="DV81" s="95"/>
      <c r="DW81" s="95"/>
      <c r="DX81" s="95"/>
      <c r="DY81" s="95"/>
      <c r="DZ81" s="95"/>
      <c r="EA81" s="95"/>
      <c r="EB81" s="95"/>
      <c r="EC81" s="95"/>
      <c r="ED81" s="95"/>
      <c r="EE81" s="95"/>
      <c r="EF81" s="95"/>
      <c r="EG81" s="95"/>
      <c r="EH81" s="95"/>
      <c r="EI81" s="95"/>
      <c r="EJ81" s="95"/>
      <c r="EK81" s="95"/>
      <c r="EL81" s="95"/>
      <c r="EM81" s="95"/>
      <c r="EN81" s="95"/>
      <c r="EO81" s="95"/>
      <c r="EP81" s="95"/>
      <c r="EQ81" s="95"/>
      <c r="ER81" s="95"/>
      <c r="ES81" s="95"/>
      <c r="ET81" s="95"/>
      <c r="EU81" s="95"/>
      <c r="EV81" s="95"/>
      <c r="EW81" s="95"/>
      <c r="EX81" s="95"/>
      <c r="EY81" s="95"/>
      <c r="EZ81" s="95"/>
      <c r="FA81" s="95"/>
      <c r="FB81" s="95"/>
      <c r="FC81" s="95"/>
      <c r="FD81" s="95"/>
      <c r="FE81" s="95"/>
      <c r="FF81" s="95"/>
      <c r="FG81" s="95"/>
      <c r="FH81" s="95"/>
      <c r="FI81" s="95"/>
      <c r="FJ81" s="95"/>
      <c r="FK81" s="95"/>
      <c r="FL81" s="95"/>
      <c r="FM81" s="95"/>
      <c r="FN81" s="95"/>
      <c r="FO81" s="95"/>
      <c r="FP81" s="95"/>
      <c r="FQ81" s="95"/>
      <c r="FR81" s="95"/>
      <c r="FS81" s="95"/>
      <c r="FT81" s="95"/>
      <c r="FU81" s="95"/>
      <c r="FV81" s="95"/>
      <c r="FW81" s="95"/>
      <c r="FX81" s="95"/>
      <c r="FY81" s="95"/>
      <c r="FZ81" s="95"/>
      <c r="GA81" s="95"/>
      <c r="GB81" s="95"/>
      <c r="GC81" s="95"/>
      <c r="GD81" s="95"/>
      <c r="GE81" s="95"/>
      <c r="GF81" s="95"/>
      <c r="GG81" s="95"/>
      <c r="GH81" s="95"/>
      <c r="GI81" s="95"/>
      <c r="GJ81" s="95"/>
      <c r="GK81" s="95"/>
      <c r="GL81" s="95"/>
      <c r="GM81" s="95"/>
      <c r="GN81" s="95"/>
    </row>
    <row r="82" spans="1:196" ht="15.75" x14ac:dyDescent="0.25">
      <c r="A82" s="193" t="s">
        <v>92</v>
      </c>
      <c r="B82" s="57"/>
      <c r="C82" s="642">
        <f>C83+C85</f>
        <v>11040</v>
      </c>
      <c r="D82" s="643"/>
      <c r="E82" s="643"/>
      <c r="F82" s="100"/>
    </row>
    <row r="83" spans="1:196" x14ac:dyDescent="0.25">
      <c r="A83" s="190" t="s">
        <v>167</v>
      </c>
      <c r="B83" s="121"/>
      <c r="C83" s="57">
        <f>C84</f>
        <v>11020</v>
      </c>
      <c r="D83" s="59"/>
      <c r="E83" s="59"/>
      <c r="F83" s="121"/>
    </row>
    <row r="84" spans="1:196" x14ac:dyDescent="0.25">
      <c r="A84" s="123" t="s">
        <v>168</v>
      </c>
      <c r="B84" s="121"/>
      <c r="C84" s="99">
        <v>11020</v>
      </c>
      <c r="D84" s="121"/>
      <c r="E84" s="121"/>
      <c r="F84" s="121"/>
    </row>
    <row r="85" spans="1:196" x14ac:dyDescent="0.25">
      <c r="A85" s="122" t="s">
        <v>169</v>
      </c>
      <c r="B85" s="121"/>
      <c r="C85" s="124">
        <f>C86+C87</f>
        <v>20</v>
      </c>
      <c r="D85" s="121"/>
      <c r="E85" s="121"/>
      <c r="F85" s="121"/>
    </row>
    <row r="86" spans="1:196" ht="30" x14ac:dyDescent="0.25">
      <c r="A86" s="123" t="s">
        <v>170</v>
      </c>
      <c r="B86" s="121"/>
      <c r="C86" s="125">
        <v>20</v>
      </c>
      <c r="D86" s="121"/>
      <c r="E86" s="121"/>
      <c r="F86" s="121"/>
    </row>
    <row r="87" spans="1:196" ht="15.75" thickBot="1" x14ac:dyDescent="0.3">
      <c r="A87" s="126" t="s">
        <v>171</v>
      </c>
      <c r="B87" s="127"/>
      <c r="C87" s="127"/>
      <c r="D87" s="127"/>
      <c r="E87" s="127"/>
      <c r="F87" s="127"/>
    </row>
    <row r="88" spans="1:196" ht="15.75" thickBot="1" x14ac:dyDescent="0.3">
      <c r="A88" s="115" t="s">
        <v>10</v>
      </c>
      <c r="B88" s="196"/>
      <c r="C88" s="196"/>
      <c r="D88" s="196"/>
      <c r="E88" s="196"/>
      <c r="F88" s="196"/>
    </row>
  </sheetData>
  <mergeCells count="6">
    <mergeCell ref="A2:F3"/>
    <mergeCell ref="B4:B6"/>
    <mergeCell ref="E4:E6"/>
    <mergeCell ref="D4:D6"/>
    <mergeCell ref="C4:C6"/>
    <mergeCell ref="F4:F6"/>
  </mergeCells>
  <pageMargins left="0.78740157480314965" right="0" top="0.35433070866141736" bottom="0.35433070866141736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U69"/>
  <sheetViews>
    <sheetView zoomScale="80" zoomScaleNormal="80" workbookViewId="0">
      <pane xSplit="1" ySplit="7" topLeftCell="B8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50.7109375" style="95" customWidth="1"/>
    <col min="2" max="2" width="10.7109375" style="95" customWidth="1"/>
    <col min="3" max="3" width="13.28515625" style="95" customWidth="1"/>
    <col min="4" max="4" width="11.140625" style="95" customWidth="1"/>
    <col min="5" max="5" width="11.28515625" style="95" customWidth="1"/>
    <col min="6" max="6" width="12.140625" style="95" customWidth="1"/>
    <col min="7" max="16384" width="11.42578125" style="95"/>
  </cols>
  <sheetData>
    <row r="1" spans="1:203" s="66" customFormat="1" ht="15.75" x14ac:dyDescent="0.25">
      <c r="E1" s="129"/>
    </row>
    <row r="2" spans="1:203" s="66" customFormat="1" ht="33" customHeight="1" x14ac:dyDescent="0.25">
      <c r="A2" s="682" t="s">
        <v>293</v>
      </c>
      <c r="B2" s="712"/>
      <c r="C2" s="712"/>
      <c r="D2" s="712"/>
      <c r="E2" s="712"/>
      <c r="F2" s="712"/>
    </row>
    <row r="3" spans="1:203" ht="15.75" thickBot="1" x14ac:dyDescent="0.3">
      <c r="A3" s="713"/>
      <c r="B3" s="713"/>
      <c r="C3" s="713"/>
      <c r="D3" s="713"/>
      <c r="E3" s="713"/>
      <c r="F3" s="713"/>
    </row>
    <row r="4" spans="1:203" ht="35.25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203" ht="19.5" customHeight="1" x14ac:dyDescent="0.3">
      <c r="A5" s="9"/>
      <c r="B5" s="688"/>
      <c r="C5" s="710"/>
      <c r="D5" s="694"/>
      <c r="E5" s="688"/>
      <c r="F5" s="691"/>
    </row>
    <row r="6" spans="1:203" ht="35.25" customHeight="1" thickBot="1" x14ac:dyDescent="0.3">
      <c r="A6" s="10" t="s">
        <v>3</v>
      </c>
      <c r="B6" s="689"/>
      <c r="C6" s="711"/>
      <c r="D6" s="695"/>
      <c r="E6" s="689"/>
      <c r="F6" s="692"/>
    </row>
    <row r="7" spans="1:203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203" ht="29.25" customHeight="1" x14ac:dyDescent="0.25">
      <c r="A8" s="717" t="s">
        <v>98</v>
      </c>
      <c r="B8" s="89"/>
      <c r="C8" s="144"/>
      <c r="D8" s="144"/>
      <c r="E8" s="144"/>
      <c r="F8" s="144"/>
      <c r="G8" s="708"/>
      <c r="H8" s="708"/>
    </row>
    <row r="9" spans="1:203" x14ac:dyDescent="0.25">
      <c r="A9" s="69" t="s">
        <v>4</v>
      </c>
      <c r="B9" s="118"/>
      <c r="C9" s="45"/>
      <c r="D9" s="45"/>
      <c r="E9" s="45"/>
      <c r="F9" s="45"/>
    </row>
    <row r="10" spans="1:203" x14ac:dyDescent="0.25">
      <c r="A10" s="59" t="s">
        <v>21</v>
      </c>
      <c r="B10" s="2">
        <v>340</v>
      </c>
      <c r="C10" s="45">
        <v>457</v>
      </c>
      <c r="D10" s="644">
        <v>10</v>
      </c>
      <c r="E10" s="100">
        <f t="shared" ref="E10:E15" si="0">ROUND(F10/B10,0)</f>
        <v>13</v>
      </c>
      <c r="F10" s="3">
        <f t="shared" ref="F10:F15" si="1">ROUND(C10*D10,0)</f>
        <v>4570</v>
      </c>
    </row>
    <row r="11" spans="1:203" x14ac:dyDescent="0.25">
      <c r="A11" s="59" t="s">
        <v>11</v>
      </c>
      <c r="B11" s="2">
        <v>340</v>
      </c>
      <c r="C11" s="45">
        <v>550</v>
      </c>
      <c r="D11" s="644">
        <v>9</v>
      </c>
      <c r="E11" s="100">
        <f t="shared" si="0"/>
        <v>15</v>
      </c>
      <c r="F11" s="3">
        <f t="shared" si="1"/>
        <v>4950</v>
      </c>
    </row>
    <row r="12" spans="1:203" x14ac:dyDescent="0.25">
      <c r="A12" s="59" t="s">
        <v>100</v>
      </c>
      <c r="B12" s="2">
        <v>270</v>
      </c>
      <c r="C12" s="45">
        <v>411</v>
      </c>
      <c r="D12" s="644">
        <v>7</v>
      </c>
      <c r="E12" s="100">
        <f t="shared" si="0"/>
        <v>11</v>
      </c>
      <c r="F12" s="3">
        <f t="shared" si="1"/>
        <v>2877</v>
      </c>
    </row>
    <row r="13" spans="1:203" x14ac:dyDescent="0.25">
      <c r="A13" s="59" t="s">
        <v>26</v>
      </c>
      <c r="B13" s="2">
        <v>320</v>
      </c>
      <c r="C13" s="45">
        <v>350</v>
      </c>
      <c r="D13" s="644">
        <v>10</v>
      </c>
      <c r="E13" s="100">
        <f t="shared" si="0"/>
        <v>11</v>
      </c>
      <c r="F13" s="3">
        <f t="shared" si="1"/>
        <v>3500</v>
      </c>
    </row>
    <row r="14" spans="1:203" x14ac:dyDescent="0.25">
      <c r="A14" s="59" t="s">
        <v>57</v>
      </c>
      <c r="B14" s="2">
        <v>340</v>
      </c>
      <c r="C14" s="45">
        <v>230</v>
      </c>
      <c r="D14" s="644">
        <v>11</v>
      </c>
      <c r="E14" s="100">
        <f t="shared" si="0"/>
        <v>7</v>
      </c>
      <c r="F14" s="3">
        <f t="shared" si="1"/>
        <v>2530</v>
      </c>
    </row>
    <row r="15" spans="1:203" x14ac:dyDescent="0.25">
      <c r="A15" s="36" t="s">
        <v>183</v>
      </c>
      <c r="B15" s="2">
        <v>330</v>
      </c>
      <c r="C15" s="45">
        <v>20</v>
      </c>
      <c r="D15" s="105">
        <v>10</v>
      </c>
      <c r="E15" s="100">
        <f t="shared" si="0"/>
        <v>1</v>
      </c>
      <c r="F15" s="3">
        <f t="shared" si="1"/>
        <v>200</v>
      </c>
    </row>
    <row r="16" spans="1:203" s="46" customFormat="1" ht="18.75" customHeight="1" x14ac:dyDescent="0.25">
      <c r="A16" s="106" t="s">
        <v>5</v>
      </c>
      <c r="B16" s="63"/>
      <c r="C16" s="47">
        <f>SUM(C10:C15)</f>
        <v>2018</v>
      </c>
      <c r="D16" s="645">
        <f>F16/C16</f>
        <v>9.2304261645193257</v>
      </c>
      <c r="E16" s="47">
        <f>SUM(E10:E15)</f>
        <v>58</v>
      </c>
      <c r="F16" s="47">
        <f>SUM(F10:F15)</f>
        <v>18627</v>
      </c>
      <c r="G16" s="261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  <c r="CW16" s="95"/>
      <c r="CX16" s="95"/>
      <c r="CY16" s="95"/>
      <c r="CZ16" s="95"/>
      <c r="DA16" s="95"/>
      <c r="DB16" s="95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5"/>
      <c r="DN16" s="95"/>
      <c r="DO16" s="95"/>
      <c r="DP16" s="95"/>
      <c r="DQ16" s="95"/>
      <c r="DR16" s="95"/>
      <c r="DS16" s="95"/>
      <c r="DT16" s="95"/>
      <c r="DU16" s="95"/>
      <c r="DV16" s="95"/>
      <c r="DW16" s="95"/>
      <c r="DX16" s="95"/>
      <c r="DY16" s="95"/>
      <c r="DZ16" s="95"/>
      <c r="EA16" s="95"/>
      <c r="EB16" s="95"/>
      <c r="EC16" s="95"/>
      <c r="ED16" s="95"/>
      <c r="EE16" s="95"/>
      <c r="EF16" s="95"/>
      <c r="EG16" s="95"/>
      <c r="EH16" s="95"/>
      <c r="EI16" s="95"/>
      <c r="EJ16" s="95"/>
      <c r="EK16" s="95"/>
      <c r="EL16" s="95"/>
      <c r="EM16" s="95"/>
      <c r="EN16" s="95"/>
      <c r="EO16" s="95"/>
      <c r="EP16" s="95"/>
      <c r="EQ16" s="95"/>
      <c r="ER16" s="95"/>
      <c r="ES16" s="95"/>
      <c r="ET16" s="95"/>
      <c r="EU16" s="95"/>
      <c r="EV16" s="95"/>
      <c r="EW16" s="95"/>
      <c r="EX16" s="95"/>
      <c r="EY16" s="95"/>
      <c r="EZ16" s="95"/>
      <c r="FA16" s="95"/>
      <c r="FB16" s="95"/>
      <c r="FC16" s="95"/>
      <c r="FD16" s="95"/>
      <c r="FE16" s="95"/>
      <c r="FF16" s="95"/>
      <c r="FG16" s="95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5"/>
      <c r="GA16" s="95"/>
      <c r="GB16" s="95"/>
      <c r="GC16" s="95"/>
      <c r="GD16" s="95"/>
      <c r="GE16" s="95"/>
      <c r="GF16" s="95"/>
      <c r="GG16" s="95"/>
      <c r="GH16" s="95"/>
      <c r="GI16" s="95"/>
      <c r="GJ16" s="95"/>
      <c r="GK16" s="95"/>
      <c r="GL16" s="95"/>
      <c r="GM16" s="95"/>
      <c r="GN16" s="95"/>
      <c r="GO16" s="95"/>
      <c r="GP16" s="95"/>
      <c r="GQ16" s="95"/>
      <c r="GR16" s="95"/>
      <c r="GS16" s="95"/>
      <c r="GT16" s="95"/>
      <c r="GU16" s="95"/>
    </row>
    <row r="17" spans="1:193" s="20" customFormat="1" hidden="1" x14ac:dyDescent="0.25">
      <c r="A17" s="4" t="s">
        <v>199</v>
      </c>
      <c r="B17" s="5">
        <v>350</v>
      </c>
      <c r="C17" s="13"/>
      <c r="D17" s="14"/>
      <c r="E17" s="3"/>
      <c r="F17" s="13"/>
    </row>
    <row r="18" spans="1:193" s="20" customFormat="1" ht="14.25" hidden="1" x14ac:dyDescent="0.2">
      <c r="A18" s="15" t="s">
        <v>200</v>
      </c>
      <c r="B18" s="16"/>
      <c r="C18" s="19">
        <f t="shared" ref="C18" si="2">C16+C17</f>
        <v>2018</v>
      </c>
      <c r="D18" s="17" t="e">
        <f>#REF!/#REF!</f>
        <v>#REF!</v>
      </c>
      <c r="E18" s="19">
        <f t="shared" ref="E18:F18" si="3">E16+E17</f>
        <v>58</v>
      </c>
      <c r="F18" s="19">
        <f t="shared" si="3"/>
        <v>18627</v>
      </c>
    </row>
    <row r="19" spans="1:193" s="46" customFormat="1" ht="17.25" customHeight="1" x14ac:dyDescent="0.25">
      <c r="A19" s="21" t="s">
        <v>205</v>
      </c>
      <c r="B19" s="21"/>
      <c r="C19" s="74"/>
      <c r="D19" s="74"/>
      <c r="E19" s="74"/>
      <c r="F19" s="56"/>
    </row>
    <row r="20" spans="1:193" s="46" customFormat="1" ht="33.75" customHeight="1" x14ac:dyDescent="0.25">
      <c r="A20" s="23" t="s">
        <v>321</v>
      </c>
      <c r="B20" s="47"/>
      <c r="C20" s="45">
        <f>SUM(C22,C23,C24,C25)+C21/2.7</f>
        <v>16566.666666666668</v>
      </c>
      <c r="D20" s="51"/>
      <c r="E20" s="51"/>
      <c r="F20" s="56"/>
    </row>
    <row r="21" spans="1:193" s="46" customFormat="1" ht="15.75" customHeight="1" x14ac:dyDescent="0.25">
      <c r="A21" s="23" t="s">
        <v>286</v>
      </c>
      <c r="B21" s="28"/>
      <c r="C21" s="3">
        <v>450</v>
      </c>
      <c r="D21" s="28"/>
      <c r="E21" s="28"/>
      <c r="F21" s="28"/>
    </row>
    <row r="22" spans="1:193" s="46" customFormat="1" ht="15.75" customHeight="1" x14ac:dyDescent="0.25">
      <c r="A22" s="48" t="s">
        <v>206</v>
      </c>
      <c r="B22" s="47"/>
      <c r="C22" s="45"/>
      <c r="D22" s="51"/>
      <c r="E22" s="51"/>
      <c r="F22" s="56"/>
    </row>
    <row r="23" spans="1:193" s="46" customFormat="1" ht="15.75" customHeight="1" x14ac:dyDescent="0.25">
      <c r="A23" s="48" t="s">
        <v>207</v>
      </c>
      <c r="B23" s="47"/>
      <c r="C23" s="13">
        <v>3000</v>
      </c>
      <c r="D23" s="51"/>
      <c r="E23" s="51"/>
      <c r="F23" s="56"/>
    </row>
    <row r="24" spans="1:193" s="46" customFormat="1" ht="15.75" customHeight="1" x14ac:dyDescent="0.25">
      <c r="A24" s="48" t="s">
        <v>208</v>
      </c>
      <c r="B24" s="47"/>
      <c r="C24" s="13">
        <v>200</v>
      </c>
      <c r="D24" s="51"/>
      <c r="E24" s="51"/>
      <c r="F24" s="56"/>
    </row>
    <row r="25" spans="1:193" s="46" customFormat="1" ht="15.75" customHeight="1" x14ac:dyDescent="0.25">
      <c r="A25" s="23" t="s">
        <v>209</v>
      </c>
      <c r="B25" s="47"/>
      <c r="C25" s="13">
        <v>13200</v>
      </c>
      <c r="D25" s="51"/>
      <c r="E25" s="51"/>
      <c r="F25" s="56"/>
    </row>
    <row r="26" spans="1:193" s="46" customFormat="1" ht="49.5" customHeight="1" x14ac:dyDescent="0.25">
      <c r="A26" s="23" t="s">
        <v>285</v>
      </c>
      <c r="B26" s="47"/>
      <c r="C26" s="13">
        <v>1</v>
      </c>
      <c r="D26" s="45"/>
      <c r="E26" s="45"/>
      <c r="F26" s="45"/>
      <c r="G26" s="75"/>
    </row>
    <row r="27" spans="1:193" s="46" customFormat="1" x14ac:dyDescent="0.25">
      <c r="A27" s="24" t="s">
        <v>118</v>
      </c>
      <c r="B27" s="45"/>
      <c r="C27" s="13">
        <f>C28+C29</f>
        <v>19824</v>
      </c>
      <c r="D27" s="45"/>
      <c r="E27" s="45"/>
      <c r="F27" s="4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  <c r="CW27" s="95"/>
      <c r="CX27" s="95"/>
      <c r="CY27" s="95"/>
      <c r="CZ27" s="95"/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5"/>
      <c r="DN27" s="95"/>
      <c r="DO27" s="95"/>
      <c r="DP27" s="95"/>
      <c r="DQ27" s="95"/>
      <c r="DR27" s="95"/>
      <c r="DS27" s="95"/>
      <c r="DT27" s="95"/>
      <c r="DU27" s="95"/>
      <c r="DV27" s="95"/>
      <c r="DW27" s="95"/>
      <c r="DX27" s="95"/>
      <c r="DY27" s="95"/>
      <c r="DZ27" s="95"/>
      <c r="EA27" s="95"/>
      <c r="EB27" s="95"/>
      <c r="EC27" s="95"/>
      <c r="ED27" s="95"/>
      <c r="EE27" s="95"/>
      <c r="EF27" s="95"/>
      <c r="EG27" s="95"/>
      <c r="EH27" s="95"/>
      <c r="EI27" s="95"/>
      <c r="EJ27" s="95"/>
      <c r="EK27" s="95"/>
      <c r="EL27" s="95"/>
      <c r="EM27" s="95"/>
      <c r="EN27" s="95"/>
      <c r="EO27" s="95"/>
      <c r="EP27" s="95"/>
      <c r="EQ27" s="95"/>
      <c r="ER27" s="95"/>
      <c r="ES27" s="95"/>
      <c r="ET27" s="95"/>
      <c r="EU27" s="95"/>
      <c r="EV27" s="95"/>
      <c r="EW27" s="95"/>
      <c r="EX27" s="95"/>
      <c r="EY27" s="95"/>
      <c r="EZ27" s="95"/>
      <c r="FA27" s="95"/>
      <c r="FB27" s="95"/>
      <c r="FC27" s="95"/>
      <c r="FD27" s="95"/>
      <c r="FE27" s="95"/>
      <c r="FF27" s="95"/>
      <c r="FG27" s="95"/>
      <c r="FH27" s="95"/>
      <c r="FI27" s="95"/>
      <c r="FJ27" s="95"/>
      <c r="FK27" s="95"/>
      <c r="FL27" s="95"/>
      <c r="FM27" s="95"/>
      <c r="FN27" s="95"/>
      <c r="FO27" s="95"/>
      <c r="FP27" s="95"/>
      <c r="FQ27" s="95"/>
      <c r="FR27" s="95"/>
      <c r="FS27" s="95"/>
      <c r="FT27" s="95"/>
      <c r="FU27" s="95"/>
      <c r="FV27" s="95"/>
      <c r="FW27" s="95"/>
      <c r="FX27" s="95"/>
      <c r="FY27" s="95"/>
      <c r="FZ27" s="95"/>
      <c r="GA27" s="95"/>
      <c r="GB27" s="95"/>
      <c r="GC27" s="95"/>
      <c r="GD27" s="95"/>
      <c r="GE27" s="95"/>
      <c r="GF27" s="95"/>
      <c r="GG27" s="95"/>
      <c r="GH27" s="95"/>
      <c r="GI27" s="95"/>
      <c r="GJ27" s="95"/>
      <c r="GK27" s="95"/>
    </row>
    <row r="28" spans="1:193" s="46" customFormat="1" x14ac:dyDescent="0.25">
      <c r="A28" s="24" t="s">
        <v>259</v>
      </c>
      <c r="B28" s="45"/>
      <c r="C28" s="13">
        <f>20824-3000</f>
        <v>17824</v>
      </c>
      <c r="D28" s="139"/>
      <c r="E28" s="139"/>
      <c r="F28" s="139"/>
      <c r="G28" s="109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5"/>
      <c r="BP28" s="95"/>
      <c r="BQ28" s="95"/>
      <c r="BR28" s="95"/>
      <c r="BS28" s="95"/>
      <c r="BT28" s="95"/>
      <c r="BU28" s="95"/>
      <c r="BV28" s="95"/>
      <c r="BW28" s="95"/>
      <c r="BX28" s="95"/>
      <c r="BY28" s="95"/>
      <c r="BZ28" s="95"/>
      <c r="CA28" s="95"/>
      <c r="CB28" s="95"/>
      <c r="CC28" s="95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  <c r="CW28" s="95"/>
      <c r="CX28" s="95"/>
      <c r="CY28" s="95"/>
      <c r="CZ28" s="95"/>
      <c r="DA28" s="95"/>
      <c r="DB28" s="95"/>
      <c r="DC28" s="95"/>
      <c r="DD28" s="95"/>
      <c r="DE28" s="95"/>
      <c r="DF28" s="95"/>
      <c r="DG28" s="95"/>
      <c r="DH28" s="95"/>
      <c r="DI28" s="95"/>
      <c r="DJ28" s="95"/>
      <c r="DK28" s="95"/>
      <c r="DL28" s="95"/>
      <c r="DM28" s="95"/>
      <c r="DN28" s="95"/>
      <c r="DO28" s="95"/>
      <c r="DP28" s="95"/>
      <c r="DQ28" s="95"/>
      <c r="DR28" s="95"/>
      <c r="DS28" s="95"/>
      <c r="DT28" s="95"/>
      <c r="DU28" s="95"/>
      <c r="DV28" s="95"/>
      <c r="DW28" s="95"/>
      <c r="DX28" s="95"/>
      <c r="DY28" s="95"/>
      <c r="DZ28" s="95"/>
      <c r="EA28" s="95"/>
      <c r="EB28" s="95"/>
      <c r="EC28" s="95"/>
      <c r="ED28" s="95"/>
      <c r="EE28" s="95"/>
      <c r="EF28" s="95"/>
      <c r="EG28" s="95"/>
      <c r="EH28" s="95"/>
      <c r="EI28" s="95"/>
      <c r="EJ28" s="95"/>
      <c r="EK28" s="95"/>
      <c r="EL28" s="95"/>
      <c r="EM28" s="95"/>
      <c r="EN28" s="95"/>
      <c r="EO28" s="95"/>
      <c r="EP28" s="95"/>
      <c r="EQ28" s="95"/>
      <c r="ER28" s="95"/>
      <c r="ES28" s="95"/>
      <c r="ET28" s="95"/>
      <c r="EU28" s="95"/>
      <c r="EV28" s="95"/>
      <c r="EW28" s="95"/>
      <c r="EX28" s="95"/>
      <c r="EY28" s="95"/>
      <c r="EZ28" s="95"/>
      <c r="FA28" s="95"/>
      <c r="FB28" s="95"/>
      <c r="FC28" s="95"/>
      <c r="FD28" s="95"/>
      <c r="FE28" s="95"/>
      <c r="FF28" s="95"/>
      <c r="FG28" s="95"/>
      <c r="FH28" s="95"/>
      <c r="FI28" s="95"/>
      <c r="FJ28" s="95"/>
      <c r="FK28" s="95"/>
      <c r="FL28" s="95"/>
      <c r="FM28" s="95"/>
      <c r="FN28" s="95"/>
      <c r="FO28" s="95"/>
      <c r="FP28" s="95"/>
      <c r="FQ28" s="95"/>
      <c r="FR28" s="95"/>
      <c r="FS28" s="95"/>
      <c r="FT28" s="95"/>
      <c r="FU28" s="95"/>
      <c r="FV28" s="95"/>
      <c r="FW28" s="95"/>
      <c r="FX28" s="95"/>
      <c r="FY28" s="95"/>
      <c r="FZ28" s="95"/>
      <c r="GA28" s="95"/>
      <c r="GB28" s="95"/>
      <c r="GC28" s="95"/>
      <c r="GD28" s="95"/>
      <c r="GE28" s="95"/>
      <c r="GF28" s="95"/>
      <c r="GG28" s="95"/>
      <c r="GH28" s="95"/>
      <c r="GI28" s="95"/>
      <c r="GJ28" s="95"/>
      <c r="GK28" s="95"/>
    </row>
    <row r="29" spans="1:193" s="46" customFormat="1" x14ac:dyDescent="0.25">
      <c r="A29" s="24" t="s">
        <v>261</v>
      </c>
      <c r="B29" s="45"/>
      <c r="C29" s="13">
        <f>C30/8.5</f>
        <v>2000</v>
      </c>
      <c r="D29" s="139"/>
      <c r="E29" s="139"/>
      <c r="F29" s="139"/>
      <c r="G29" s="64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5"/>
      <c r="BP29" s="95"/>
      <c r="BQ29" s="95"/>
      <c r="BR29" s="95"/>
      <c r="BS29" s="95"/>
      <c r="BT29" s="95"/>
      <c r="BU29" s="95"/>
      <c r="BV29" s="95"/>
      <c r="BW29" s="95"/>
      <c r="BX29" s="95"/>
      <c r="BY29" s="95"/>
      <c r="BZ29" s="95"/>
      <c r="CA29" s="95"/>
      <c r="CB29" s="95"/>
      <c r="CC29" s="95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  <c r="CW29" s="95"/>
      <c r="CX29" s="95"/>
      <c r="CY29" s="95"/>
      <c r="CZ29" s="95"/>
      <c r="DA29" s="95"/>
      <c r="DB29" s="95"/>
      <c r="DC29" s="95"/>
      <c r="DD29" s="95"/>
      <c r="DE29" s="95"/>
      <c r="DF29" s="95"/>
      <c r="DG29" s="95"/>
      <c r="DH29" s="95"/>
      <c r="DI29" s="95"/>
      <c r="DJ29" s="95"/>
      <c r="DK29" s="95"/>
      <c r="DL29" s="95"/>
      <c r="DM29" s="95"/>
      <c r="DN29" s="95"/>
      <c r="DO29" s="95"/>
      <c r="DP29" s="95"/>
      <c r="DQ29" s="95"/>
      <c r="DR29" s="95"/>
      <c r="DS29" s="95"/>
      <c r="DT29" s="95"/>
      <c r="DU29" s="95"/>
      <c r="DV29" s="95"/>
      <c r="DW29" s="95"/>
      <c r="DX29" s="95"/>
      <c r="DY29" s="95"/>
      <c r="DZ29" s="95"/>
      <c r="EA29" s="95"/>
      <c r="EB29" s="95"/>
      <c r="EC29" s="95"/>
      <c r="ED29" s="95"/>
      <c r="EE29" s="95"/>
      <c r="EF29" s="95"/>
      <c r="EG29" s="95"/>
      <c r="EH29" s="95"/>
      <c r="EI29" s="95"/>
      <c r="EJ29" s="95"/>
      <c r="EK29" s="95"/>
      <c r="EL29" s="95"/>
      <c r="EM29" s="95"/>
      <c r="EN29" s="95"/>
      <c r="EO29" s="95"/>
      <c r="EP29" s="95"/>
      <c r="EQ29" s="95"/>
      <c r="ER29" s="95"/>
      <c r="ES29" s="95"/>
      <c r="ET29" s="95"/>
      <c r="EU29" s="95"/>
      <c r="EV29" s="95"/>
      <c r="EW29" s="95"/>
      <c r="EX29" s="95"/>
      <c r="EY29" s="95"/>
      <c r="EZ29" s="95"/>
      <c r="FA29" s="95"/>
      <c r="FB29" s="95"/>
      <c r="FC29" s="95"/>
      <c r="FD29" s="95"/>
      <c r="FE29" s="95"/>
      <c r="FF29" s="95"/>
      <c r="FG29" s="95"/>
      <c r="FH29" s="95"/>
      <c r="FI29" s="95"/>
      <c r="FJ29" s="95"/>
      <c r="FK29" s="95"/>
      <c r="FL29" s="95"/>
      <c r="FM29" s="95"/>
      <c r="FN29" s="95"/>
      <c r="FO29" s="95"/>
      <c r="FP29" s="95"/>
      <c r="FQ29" s="95"/>
      <c r="FR29" s="95"/>
      <c r="FS29" s="95"/>
      <c r="FT29" s="95"/>
      <c r="FU29" s="95"/>
      <c r="FV29" s="95"/>
      <c r="FW29" s="95"/>
      <c r="FX29" s="95"/>
      <c r="FY29" s="95"/>
      <c r="FZ29" s="95"/>
      <c r="GA29" s="95"/>
      <c r="GB29" s="95"/>
      <c r="GC29" s="95"/>
      <c r="GD29" s="95"/>
      <c r="GE29" s="95"/>
      <c r="GF29" s="95"/>
      <c r="GG29" s="95"/>
      <c r="GH29" s="95"/>
      <c r="GI29" s="95"/>
      <c r="GJ29" s="95"/>
      <c r="GK29" s="95"/>
    </row>
    <row r="30" spans="1:193" s="130" customFormat="1" x14ac:dyDescent="0.25">
      <c r="A30" s="44" t="s">
        <v>260</v>
      </c>
      <c r="B30" s="47"/>
      <c r="C30" s="3">
        <v>17000</v>
      </c>
      <c r="D30" s="136"/>
      <c r="E30" s="136"/>
      <c r="F30" s="136"/>
      <c r="G30" s="110"/>
    </row>
    <row r="31" spans="1:193" s="130" customFormat="1" x14ac:dyDescent="0.25">
      <c r="A31" s="49" t="s">
        <v>210</v>
      </c>
      <c r="B31" s="50"/>
      <c r="C31" s="47">
        <f>C20+ROUND(C28*3.2,0)+C30/3.9</f>
        <v>77962.641025641031</v>
      </c>
      <c r="D31" s="136"/>
      <c r="E31" s="136"/>
      <c r="F31" s="136"/>
    </row>
    <row r="32" spans="1:193" s="130" customFormat="1" x14ac:dyDescent="0.25">
      <c r="A32" s="21" t="s">
        <v>153</v>
      </c>
      <c r="B32" s="22"/>
      <c r="C32" s="47"/>
      <c r="D32" s="136"/>
      <c r="E32" s="136"/>
      <c r="F32" s="136"/>
    </row>
    <row r="33" spans="1:6" s="130" customFormat="1" ht="36.75" customHeight="1" x14ac:dyDescent="0.25">
      <c r="A33" s="23" t="s">
        <v>321</v>
      </c>
      <c r="B33" s="22"/>
      <c r="C33" s="3">
        <f>SUM(C34,C35,C42,C48,C49,C50)</f>
        <v>19305</v>
      </c>
      <c r="D33" s="136"/>
      <c r="E33" s="136"/>
      <c r="F33" s="136"/>
    </row>
    <row r="34" spans="1:6" s="130" customFormat="1" ht="17.25" customHeight="1" x14ac:dyDescent="0.25">
      <c r="A34" s="23" t="s">
        <v>206</v>
      </c>
      <c r="B34" s="22"/>
      <c r="C34" s="3"/>
      <c r="D34" s="136"/>
      <c r="E34" s="136"/>
      <c r="F34" s="136"/>
    </row>
    <row r="35" spans="1:6" s="130" customFormat="1" ht="30" x14ac:dyDescent="0.25">
      <c r="A35" s="48" t="s">
        <v>211</v>
      </c>
      <c r="B35" s="22"/>
      <c r="C35" s="3">
        <f>C36+C37+C38+C40</f>
        <v>3793</v>
      </c>
      <c r="D35" s="136"/>
      <c r="E35" s="136"/>
      <c r="F35" s="136"/>
    </row>
    <row r="36" spans="1:6" s="130" customFormat="1" x14ac:dyDescent="0.25">
      <c r="A36" s="52" t="s">
        <v>212</v>
      </c>
      <c r="B36" s="22"/>
      <c r="C36" s="42">
        <f>2690-1090</f>
        <v>1600</v>
      </c>
      <c r="D36" s="136"/>
      <c r="E36" s="136"/>
      <c r="F36" s="136"/>
    </row>
    <row r="37" spans="1:6" s="130" customFormat="1" x14ac:dyDescent="0.25">
      <c r="A37" s="52" t="s">
        <v>213</v>
      </c>
      <c r="B37" s="22"/>
      <c r="C37" s="42">
        <v>777</v>
      </c>
      <c r="D37" s="136"/>
      <c r="E37" s="136"/>
      <c r="F37" s="136"/>
    </row>
    <row r="38" spans="1:6" s="130" customFormat="1" ht="30" x14ac:dyDescent="0.25">
      <c r="A38" s="52" t="s">
        <v>214</v>
      </c>
      <c r="B38" s="22"/>
      <c r="C38" s="42">
        <v>324</v>
      </c>
      <c r="D38" s="136"/>
      <c r="E38" s="136"/>
      <c r="F38" s="136"/>
    </row>
    <row r="39" spans="1:6" s="130" customFormat="1" x14ac:dyDescent="0.25">
      <c r="A39" s="52" t="s">
        <v>215</v>
      </c>
      <c r="B39" s="22"/>
      <c r="C39" s="42">
        <v>36</v>
      </c>
      <c r="D39" s="136"/>
      <c r="E39" s="136"/>
      <c r="F39" s="136"/>
    </row>
    <row r="40" spans="1:6" s="130" customFormat="1" ht="30" x14ac:dyDescent="0.25">
      <c r="A40" s="52" t="s">
        <v>216</v>
      </c>
      <c r="B40" s="22"/>
      <c r="C40" s="42">
        <v>1092</v>
      </c>
      <c r="D40" s="136"/>
      <c r="E40" s="136"/>
      <c r="F40" s="136"/>
    </row>
    <row r="41" spans="1:6" s="130" customFormat="1" x14ac:dyDescent="0.25">
      <c r="A41" s="52" t="s">
        <v>215</v>
      </c>
      <c r="B41" s="22"/>
      <c r="C41" s="42">
        <v>138</v>
      </c>
      <c r="D41" s="136"/>
      <c r="E41" s="136"/>
      <c r="F41" s="136"/>
    </row>
    <row r="42" spans="1:6" s="130" customFormat="1" ht="30" x14ac:dyDescent="0.25">
      <c r="A42" s="48" t="s">
        <v>217</v>
      </c>
      <c r="B42" s="22"/>
      <c r="C42" s="42">
        <f>C43+C44+C46+C48</f>
        <v>15512</v>
      </c>
      <c r="D42" s="136"/>
      <c r="E42" s="136"/>
      <c r="F42" s="136"/>
    </row>
    <row r="43" spans="1:6" s="130" customFormat="1" ht="30" x14ac:dyDescent="0.25">
      <c r="A43" s="52" t="s">
        <v>218</v>
      </c>
      <c r="B43" s="22"/>
      <c r="C43" s="3">
        <v>3130</v>
      </c>
      <c r="D43" s="136"/>
      <c r="E43" s="136"/>
      <c r="F43" s="136"/>
    </row>
    <row r="44" spans="1:6" s="130" customFormat="1" ht="45" x14ac:dyDescent="0.25">
      <c r="A44" s="52" t="s">
        <v>219</v>
      </c>
      <c r="B44" s="22"/>
      <c r="C44" s="42">
        <v>10371</v>
      </c>
      <c r="D44" s="136"/>
      <c r="E44" s="136"/>
      <c r="F44" s="136"/>
    </row>
    <row r="45" spans="1:6" s="130" customFormat="1" x14ac:dyDescent="0.25">
      <c r="A45" s="52" t="s">
        <v>215</v>
      </c>
      <c r="B45" s="22"/>
      <c r="C45" s="42">
        <v>3000</v>
      </c>
      <c r="D45" s="136"/>
      <c r="E45" s="136"/>
      <c r="F45" s="136"/>
    </row>
    <row r="46" spans="1:6" s="130" customFormat="1" ht="45" x14ac:dyDescent="0.25">
      <c r="A46" s="52" t="s">
        <v>220</v>
      </c>
      <c r="B46" s="22"/>
      <c r="C46" s="42">
        <v>2011</v>
      </c>
      <c r="D46" s="136"/>
      <c r="E46" s="136"/>
      <c r="F46" s="136"/>
    </row>
    <row r="47" spans="1:6" s="130" customFormat="1" x14ac:dyDescent="0.25">
      <c r="A47" s="52" t="s">
        <v>215</v>
      </c>
      <c r="B47" s="22"/>
      <c r="C47" s="42">
        <v>1052</v>
      </c>
      <c r="D47" s="136"/>
      <c r="E47" s="136"/>
      <c r="F47" s="136"/>
    </row>
    <row r="48" spans="1:6" s="130" customFormat="1" ht="30" x14ac:dyDescent="0.25">
      <c r="A48" s="48" t="s">
        <v>221</v>
      </c>
      <c r="B48" s="22"/>
      <c r="C48" s="42"/>
      <c r="D48" s="136"/>
      <c r="E48" s="136"/>
      <c r="F48" s="136"/>
    </row>
    <row r="49" spans="1:203" s="130" customFormat="1" ht="30" x14ac:dyDescent="0.25">
      <c r="A49" s="48" t="s">
        <v>222</v>
      </c>
      <c r="B49" s="22"/>
      <c r="C49" s="42"/>
      <c r="D49" s="136"/>
      <c r="E49" s="136"/>
      <c r="F49" s="136"/>
    </row>
    <row r="50" spans="1:203" s="130" customFormat="1" x14ac:dyDescent="0.25">
      <c r="A50" s="23" t="s">
        <v>223</v>
      </c>
      <c r="B50" s="22"/>
      <c r="C50" s="42"/>
      <c r="D50" s="136"/>
      <c r="E50" s="136"/>
      <c r="F50" s="136"/>
    </row>
    <row r="51" spans="1:203" s="130" customFormat="1" x14ac:dyDescent="0.25">
      <c r="A51" s="24" t="s">
        <v>118</v>
      </c>
      <c r="B51" s="47"/>
      <c r="C51" s="42"/>
      <c r="D51" s="136"/>
      <c r="E51" s="136"/>
      <c r="F51" s="136"/>
    </row>
    <row r="52" spans="1:203" s="130" customFormat="1" x14ac:dyDescent="0.25">
      <c r="A52" s="44" t="s">
        <v>150</v>
      </c>
      <c r="B52" s="47"/>
      <c r="C52" s="3"/>
      <c r="D52" s="136"/>
      <c r="E52" s="136"/>
      <c r="F52" s="136"/>
    </row>
    <row r="53" spans="1:203" s="46" customFormat="1" ht="30" x14ac:dyDescent="0.25">
      <c r="A53" s="24" t="s">
        <v>119</v>
      </c>
      <c r="B53" s="45"/>
      <c r="C53" s="3">
        <v>5200</v>
      </c>
      <c r="D53" s="45"/>
      <c r="E53" s="45"/>
      <c r="F53" s="4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  <c r="CB53" s="95"/>
      <c r="CC53" s="95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  <c r="CW53" s="95"/>
      <c r="CX53" s="95"/>
      <c r="CY53" s="95"/>
      <c r="CZ53" s="95"/>
      <c r="DA53" s="95"/>
      <c r="DB53" s="95"/>
      <c r="DC53" s="95"/>
      <c r="DD53" s="95"/>
      <c r="DE53" s="95"/>
      <c r="DF53" s="95"/>
      <c r="DG53" s="95"/>
      <c r="DH53" s="95"/>
      <c r="DI53" s="95"/>
      <c r="DJ53" s="95"/>
      <c r="DK53" s="95"/>
      <c r="DL53" s="95"/>
      <c r="DM53" s="95"/>
      <c r="DN53" s="95"/>
      <c r="DO53" s="95"/>
      <c r="DP53" s="95"/>
      <c r="DQ53" s="95"/>
      <c r="DR53" s="95"/>
      <c r="DS53" s="95"/>
      <c r="DT53" s="95"/>
      <c r="DU53" s="95"/>
      <c r="DV53" s="95"/>
      <c r="DW53" s="95"/>
      <c r="DX53" s="95"/>
      <c r="DY53" s="95"/>
      <c r="DZ53" s="95"/>
      <c r="EA53" s="95"/>
      <c r="EB53" s="95"/>
      <c r="EC53" s="95"/>
      <c r="ED53" s="95"/>
      <c r="EE53" s="95"/>
      <c r="EF53" s="95"/>
      <c r="EG53" s="95"/>
      <c r="EH53" s="95"/>
      <c r="EI53" s="95"/>
      <c r="EJ53" s="95"/>
      <c r="EK53" s="95"/>
      <c r="EL53" s="95"/>
      <c r="EM53" s="95"/>
      <c r="EN53" s="95"/>
      <c r="EO53" s="95"/>
      <c r="EP53" s="95"/>
      <c r="EQ53" s="95"/>
      <c r="ER53" s="95"/>
      <c r="ES53" s="95"/>
      <c r="ET53" s="95"/>
      <c r="EU53" s="95"/>
      <c r="EV53" s="95"/>
      <c r="EW53" s="95"/>
      <c r="EX53" s="95"/>
      <c r="EY53" s="95"/>
      <c r="EZ53" s="95"/>
      <c r="FA53" s="95"/>
      <c r="FB53" s="95"/>
      <c r="FC53" s="95"/>
      <c r="FD53" s="95"/>
      <c r="FE53" s="95"/>
      <c r="FF53" s="95"/>
      <c r="FG53" s="95"/>
      <c r="FH53" s="95"/>
      <c r="FI53" s="95"/>
      <c r="FJ53" s="95"/>
      <c r="FK53" s="95"/>
      <c r="FL53" s="95"/>
      <c r="FM53" s="95"/>
      <c r="FN53" s="95"/>
      <c r="FO53" s="95"/>
      <c r="FP53" s="95"/>
      <c r="FQ53" s="95"/>
      <c r="FR53" s="95"/>
      <c r="FS53" s="95"/>
      <c r="FT53" s="95"/>
      <c r="FU53" s="95"/>
      <c r="FV53" s="95"/>
      <c r="FW53" s="95"/>
      <c r="FX53" s="95"/>
      <c r="FY53" s="95"/>
      <c r="FZ53" s="95"/>
      <c r="GA53" s="95"/>
      <c r="GB53" s="95"/>
      <c r="GC53" s="95"/>
      <c r="GD53" s="95"/>
      <c r="GE53" s="95"/>
      <c r="GF53" s="95"/>
      <c r="GG53" s="95"/>
      <c r="GH53" s="95"/>
      <c r="GI53" s="95"/>
      <c r="GJ53" s="95"/>
      <c r="GK53" s="95"/>
    </row>
    <row r="54" spans="1:203" s="46" customFormat="1" x14ac:dyDescent="0.25">
      <c r="A54" s="137" t="s">
        <v>224</v>
      </c>
      <c r="B54" s="22"/>
      <c r="C54" s="3"/>
      <c r="D54" s="45"/>
      <c r="E54" s="45"/>
      <c r="F54" s="45"/>
    </row>
    <row r="55" spans="1:203" s="46" customFormat="1" ht="15.75" customHeight="1" x14ac:dyDescent="0.25">
      <c r="A55" s="53"/>
      <c r="B55" s="22"/>
      <c r="C55" s="3"/>
      <c r="D55" s="45"/>
      <c r="E55" s="45"/>
      <c r="F55" s="45"/>
    </row>
    <row r="56" spans="1:203" s="46" customFormat="1" x14ac:dyDescent="0.25">
      <c r="A56" s="54" t="s">
        <v>152</v>
      </c>
      <c r="B56" s="22"/>
      <c r="C56" s="18">
        <f>C33+ROUND(C51*3.2,0)+C53</f>
        <v>24505</v>
      </c>
      <c r="D56" s="45"/>
      <c r="E56" s="45"/>
      <c r="F56" s="45"/>
    </row>
    <row r="57" spans="1:203" s="46" customFormat="1" ht="17.25" customHeight="1" x14ac:dyDescent="0.25">
      <c r="A57" s="191" t="s">
        <v>151</v>
      </c>
      <c r="B57" s="22"/>
      <c r="C57" s="18">
        <f>SUM(C31,C56)</f>
        <v>102467.64102564103</v>
      </c>
      <c r="D57" s="45"/>
      <c r="E57" s="45"/>
      <c r="F57" s="45"/>
    </row>
    <row r="58" spans="1:203" s="46" customFormat="1" ht="15.75" customHeight="1" x14ac:dyDescent="0.25">
      <c r="A58" s="34" t="s">
        <v>7</v>
      </c>
      <c r="B58" s="38"/>
      <c r="C58" s="99"/>
      <c r="D58" s="99"/>
      <c r="E58" s="99"/>
      <c r="F58" s="99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  <c r="BE58" s="95"/>
      <c r="BF58" s="95"/>
      <c r="BG58" s="95"/>
      <c r="BH58" s="95"/>
      <c r="BI58" s="95"/>
      <c r="BJ58" s="95"/>
      <c r="BK58" s="95"/>
      <c r="BL58" s="95"/>
      <c r="BM58" s="95"/>
      <c r="BN58" s="95"/>
      <c r="BO58" s="95"/>
      <c r="BP58" s="95"/>
      <c r="BQ58" s="95"/>
      <c r="BR58" s="95"/>
      <c r="BS58" s="95"/>
      <c r="BT58" s="95"/>
      <c r="BU58" s="95"/>
      <c r="BV58" s="95"/>
      <c r="BW58" s="95"/>
      <c r="BX58" s="95"/>
      <c r="BY58" s="95"/>
      <c r="BZ58" s="95"/>
      <c r="CA58" s="95"/>
      <c r="CB58" s="95"/>
      <c r="CC58" s="95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  <c r="CW58" s="95"/>
      <c r="CX58" s="95"/>
      <c r="CY58" s="95"/>
      <c r="CZ58" s="95"/>
      <c r="DA58" s="95"/>
      <c r="DB58" s="95"/>
      <c r="DC58" s="95"/>
      <c r="DD58" s="95"/>
      <c r="DE58" s="95"/>
      <c r="DF58" s="95"/>
      <c r="DG58" s="95"/>
      <c r="DH58" s="95"/>
      <c r="DI58" s="95"/>
      <c r="DJ58" s="95"/>
      <c r="DK58" s="95"/>
      <c r="DL58" s="95"/>
      <c r="DM58" s="95"/>
      <c r="DN58" s="95"/>
      <c r="DO58" s="95"/>
      <c r="DP58" s="95"/>
      <c r="DQ58" s="95"/>
      <c r="DR58" s="95"/>
      <c r="DS58" s="95"/>
      <c r="DT58" s="95"/>
      <c r="DU58" s="95"/>
      <c r="DV58" s="95"/>
      <c r="DW58" s="95"/>
      <c r="DX58" s="95"/>
      <c r="DY58" s="95"/>
      <c r="DZ58" s="95"/>
      <c r="EA58" s="95"/>
      <c r="EB58" s="95"/>
      <c r="EC58" s="95"/>
      <c r="ED58" s="95"/>
      <c r="EE58" s="95"/>
      <c r="EF58" s="95"/>
      <c r="EG58" s="95"/>
      <c r="EH58" s="95"/>
      <c r="EI58" s="95"/>
      <c r="EJ58" s="95"/>
      <c r="EK58" s="95"/>
      <c r="EL58" s="95"/>
      <c r="EM58" s="95"/>
      <c r="EN58" s="95"/>
      <c r="EO58" s="95"/>
      <c r="EP58" s="95"/>
      <c r="EQ58" s="95"/>
      <c r="ER58" s="95"/>
      <c r="ES58" s="95"/>
      <c r="ET58" s="95"/>
      <c r="EU58" s="95"/>
      <c r="EV58" s="95"/>
      <c r="EW58" s="95"/>
      <c r="EX58" s="95"/>
      <c r="EY58" s="95"/>
      <c r="EZ58" s="95"/>
      <c r="FA58" s="95"/>
      <c r="FB58" s="95"/>
      <c r="FC58" s="95"/>
      <c r="FD58" s="95"/>
      <c r="FE58" s="95"/>
      <c r="FF58" s="95"/>
      <c r="FG58" s="95"/>
      <c r="FH58" s="95"/>
      <c r="FI58" s="95"/>
      <c r="FJ58" s="95"/>
      <c r="FK58" s="95"/>
      <c r="FL58" s="95"/>
      <c r="FM58" s="95"/>
      <c r="FN58" s="95"/>
      <c r="FO58" s="95"/>
      <c r="FP58" s="95"/>
      <c r="FQ58" s="95"/>
      <c r="FR58" s="95"/>
      <c r="FS58" s="95"/>
      <c r="FT58" s="95"/>
      <c r="FU58" s="95"/>
      <c r="FV58" s="95"/>
      <c r="FW58" s="95"/>
      <c r="FX58" s="95"/>
      <c r="FY58" s="95"/>
      <c r="FZ58" s="95"/>
      <c r="GA58" s="95"/>
      <c r="GB58" s="95"/>
      <c r="GC58" s="95"/>
      <c r="GD58" s="95"/>
      <c r="GE58" s="95"/>
      <c r="GF58" s="95"/>
      <c r="GG58" s="95"/>
      <c r="GH58" s="95"/>
      <c r="GI58" s="95"/>
      <c r="GJ58" s="95"/>
      <c r="GK58" s="95"/>
      <c r="GL58" s="95"/>
      <c r="GM58" s="95"/>
      <c r="GN58" s="95"/>
      <c r="GO58" s="95"/>
      <c r="GP58" s="95"/>
      <c r="GQ58" s="95"/>
      <c r="GR58" s="95"/>
      <c r="GS58" s="95"/>
      <c r="GT58" s="95"/>
      <c r="GU58" s="95"/>
    </row>
    <row r="59" spans="1:203" s="46" customFormat="1" ht="15.75" customHeight="1" x14ac:dyDescent="0.25">
      <c r="A59" s="43" t="s">
        <v>20</v>
      </c>
      <c r="B59" s="38"/>
      <c r="C59" s="99"/>
      <c r="D59" s="99"/>
      <c r="E59" s="99"/>
      <c r="F59" s="99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  <c r="BE59" s="95"/>
      <c r="BF59" s="95"/>
      <c r="BG59" s="95"/>
      <c r="BH59" s="95"/>
      <c r="BI59" s="95"/>
      <c r="BJ59" s="95"/>
      <c r="BK59" s="95"/>
      <c r="BL59" s="95"/>
      <c r="BM59" s="95"/>
      <c r="BN59" s="95"/>
      <c r="BO59" s="95"/>
      <c r="BP59" s="95"/>
      <c r="BQ59" s="95"/>
      <c r="BR59" s="95"/>
      <c r="BS59" s="95"/>
      <c r="BT59" s="95"/>
      <c r="BU59" s="95"/>
      <c r="BV59" s="95"/>
      <c r="BW59" s="95"/>
      <c r="BX59" s="95"/>
      <c r="BY59" s="95"/>
      <c r="BZ59" s="95"/>
      <c r="CA59" s="95"/>
      <c r="CB59" s="95"/>
      <c r="CC59" s="95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  <c r="CW59" s="95"/>
      <c r="CX59" s="95"/>
      <c r="CY59" s="95"/>
      <c r="CZ59" s="95"/>
      <c r="DA59" s="95"/>
      <c r="DB59" s="95"/>
      <c r="DC59" s="95"/>
      <c r="DD59" s="95"/>
      <c r="DE59" s="95"/>
      <c r="DF59" s="95"/>
      <c r="DG59" s="95"/>
      <c r="DH59" s="95"/>
      <c r="DI59" s="95"/>
      <c r="DJ59" s="95"/>
      <c r="DK59" s="95"/>
      <c r="DL59" s="95"/>
      <c r="DM59" s="95"/>
      <c r="DN59" s="95"/>
      <c r="DO59" s="95"/>
      <c r="DP59" s="95"/>
      <c r="DQ59" s="95"/>
      <c r="DR59" s="95"/>
      <c r="DS59" s="95"/>
      <c r="DT59" s="95"/>
      <c r="DU59" s="95"/>
      <c r="DV59" s="95"/>
      <c r="DW59" s="95"/>
      <c r="DX59" s="95"/>
      <c r="DY59" s="95"/>
      <c r="DZ59" s="95"/>
      <c r="EA59" s="95"/>
      <c r="EB59" s="95"/>
      <c r="EC59" s="95"/>
      <c r="ED59" s="95"/>
      <c r="EE59" s="95"/>
      <c r="EF59" s="95"/>
      <c r="EG59" s="95"/>
      <c r="EH59" s="95"/>
      <c r="EI59" s="95"/>
      <c r="EJ59" s="95"/>
      <c r="EK59" s="95"/>
      <c r="EL59" s="95"/>
      <c r="EM59" s="95"/>
      <c r="EN59" s="95"/>
      <c r="EO59" s="95"/>
      <c r="EP59" s="95"/>
      <c r="EQ59" s="95"/>
      <c r="ER59" s="95"/>
      <c r="ES59" s="95"/>
      <c r="ET59" s="95"/>
      <c r="EU59" s="95"/>
      <c r="EV59" s="95"/>
      <c r="EW59" s="95"/>
      <c r="EX59" s="95"/>
      <c r="EY59" s="95"/>
      <c r="EZ59" s="95"/>
      <c r="FA59" s="95"/>
      <c r="FB59" s="95"/>
      <c r="FC59" s="95"/>
      <c r="FD59" s="95"/>
      <c r="FE59" s="95"/>
      <c r="FF59" s="95"/>
      <c r="FG59" s="95"/>
      <c r="FH59" s="95"/>
      <c r="FI59" s="95"/>
      <c r="FJ59" s="95"/>
      <c r="FK59" s="95"/>
      <c r="FL59" s="95"/>
      <c r="FM59" s="95"/>
      <c r="FN59" s="95"/>
      <c r="FO59" s="95"/>
      <c r="FP59" s="95"/>
      <c r="FQ59" s="95"/>
      <c r="FR59" s="95"/>
      <c r="FS59" s="95"/>
      <c r="FT59" s="95"/>
      <c r="FU59" s="95"/>
      <c r="FV59" s="95"/>
      <c r="FW59" s="95"/>
      <c r="FX59" s="95"/>
      <c r="FY59" s="95"/>
      <c r="FZ59" s="95"/>
      <c r="GA59" s="95"/>
      <c r="GB59" s="95"/>
      <c r="GC59" s="95"/>
      <c r="GD59" s="95"/>
      <c r="GE59" s="95"/>
      <c r="GF59" s="95"/>
      <c r="GG59" s="95"/>
      <c r="GH59" s="95"/>
      <c r="GI59" s="95"/>
      <c r="GJ59" s="95"/>
      <c r="GK59" s="95"/>
      <c r="GL59" s="95"/>
      <c r="GM59" s="95"/>
      <c r="GN59" s="95"/>
      <c r="GO59" s="95"/>
      <c r="GP59" s="95"/>
      <c r="GQ59" s="95"/>
      <c r="GR59" s="95"/>
      <c r="GS59" s="95"/>
      <c r="GT59" s="95"/>
      <c r="GU59" s="95"/>
    </row>
    <row r="60" spans="1:203" s="46" customFormat="1" ht="15.75" customHeight="1" x14ac:dyDescent="0.25">
      <c r="A60" s="29" t="s">
        <v>21</v>
      </c>
      <c r="B60" s="38">
        <v>240</v>
      </c>
      <c r="C60" s="45">
        <v>1110</v>
      </c>
      <c r="D60" s="644">
        <v>8</v>
      </c>
      <c r="E60" s="100">
        <f>ROUND(F60/B60,0)</f>
        <v>37</v>
      </c>
      <c r="F60" s="3">
        <f>ROUND(C60*D60,0)</f>
        <v>8880</v>
      </c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</row>
    <row r="61" spans="1:203" s="46" customFormat="1" ht="15.75" customHeight="1" x14ac:dyDescent="0.25">
      <c r="A61" s="29" t="s">
        <v>11</v>
      </c>
      <c r="B61" s="38">
        <v>240</v>
      </c>
      <c r="C61" s="99">
        <v>30</v>
      </c>
      <c r="D61" s="644">
        <v>8</v>
      </c>
      <c r="E61" s="100">
        <f>ROUND(F61/B61,0)</f>
        <v>1</v>
      </c>
      <c r="F61" s="3">
        <f>ROUND(C61*D61,0)</f>
        <v>240</v>
      </c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95"/>
      <c r="AZ61" s="95"/>
      <c r="BA61" s="95"/>
      <c r="BB61" s="95"/>
      <c r="BC61" s="95"/>
      <c r="BD61" s="95"/>
      <c r="BE61" s="95"/>
      <c r="BF61" s="95"/>
      <c r="BG61" s="95"/>
      <c r="BH61" s="95"/>
      <c r="BI61" s="95"/>
      <c r="BJ61" s="95"/>
      <c r="BK61" s="95"/>
      <c r="BL61" s="95"/>
      <c r="BM61" s="95"/>
      <c r="BN61" s="95"/>
      <c r="BO61" s="95"/>
      <c r="BP61" s="95"/>
      <c r="BQ61" s="95"/>
      <c r="BR61" s="95"/>
      <c r="BS61" s="95"/>
      <c r="BT61" s="95"/>
      <c r="BU61" s="95"/>
      <c r="BV61" s="95"/>
      <c r="BW61" s="95"/>
      <c r="BX61" s="95"/>
      <c r="BY61" s="95"/>
      <c r="BZ61" s="95"/>
      <c r="CA61" s="95"/>
      <c r="CB61" s="95"/>
      <c r="CC61" s="95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  <c r="CW61" s="95"/>
      <c r="CX61" s="95"/>
      <c r="CY61" s="95"/>
      <c r="CZ61" s="95"/>
      <c r="DA61" s="95"/>
      <c r="DB61" s="95"/>
      <c r="DC61" s="95"/>
      <c r="DD61" s="95"/>
      <c r="DE61" s="95"/>
      <c r="DF61" s="95"/>
      <c r="DG61" s="95"/>
      <c r="DH61" s="95"/>
      <c r="DI61" s="95"/>
      <c r="DJ61" s="95"/>
      <c r="DK61" s="95"/>
      <c r="DL61" s="95"/>
      <c r="DM61" s="95"/>
      <c r="DN61" s="95"/>
      <c r="DO61" s="95"/>
      <c r="DP61" s="95"/>
      <c r="DQ61" s="95"/>
      <c r="DR61" s="95"/>
      <c r="DS61" s="95"/>
      <c r="DT61" s="95"/>
      <c r="DU61" s="95"/>
      <c r="DV61" s="95"/>
      <c r="DW61" s="95"/>
      <c r="DX61" s="95"/>
      <c r="DY61" s="95"/>
      <c r="DZ61" s="95"/>
      <c r="EA61" s="95"/>
      <c r="EB61" s="95"/>
      <c r="EC61" s="95"/>
      <c r="ED61" s="95"/>
      <c r="EE61" s="95"/>
      <c r="EF61" s="95"/>
      <c r="EG61" s="95"/>
      <c r="EH61" s="95"/>
      <c r="EI61" s="95"/>
      <c r="EJ61" s="95"/>
      <c r="EK61" s="95"/>
      <c r="EL61" s="95"/>
      <c r="EM61" s="95"/>
      <c r="EN61" s="95"/>
      <c r="EO61" s="95"/>
      <c r="EP61" s="95"/>
      <c r="EQ61" s="95"/>
      <c r="ER61" s="95"/>
      <c r="ES61" s="95"/>
      <c r="ET61" s="95"/>
      <c r="EU61" s="95"/>
      <c r="EV61" s="95"/>
      <c r="EW61" s="95"/>
      <c r="EX61" s="95"/>
      <c r="EY61" s="95"/>
      <c r="EZ61" s="95"/>
      <c r="FA61" s="95"/>
      <c r="FB61" s="95"/>
      <c r="FC61" s="95"/>
      <c r="FD61" s="95"/>
      <c r="FE61" s="95"/>
      <c r="FF61" s="95"/>
      <c r="FG61" s="95"/>
      <c r="FH61" s="95"/>
      <c r="FI61" s="95"/>
      <c r="FJ61" s="95"/>
      <c r="FK61" s="95"/>
      <c r="FL61" s="95"/>
      <c r="FM61" s="95"/>
      <c r="FN61" s="95"/>
      <c r="FO61" s="95"/>
      <c r="FP61" s="95"/>
      <c r="FQ61" s="95"/>
      <c r="FR61" s="95"/>
      <c r="FS61" s="95"/>
      <c r="FT61" s="95"/>
      <c r="FU61" s="95"/>
      <c r="FV61" s="95"/>
      <c r="FW61" s="95"/>
      <c r="FX61" s="95"/>
      <c r="FY61" s="95"/>
      <c r="FZ61" s="95"/>
      <c r="GA61" s="95"/>
      <c r="GB61" s="95"/>
      <c r="GC61" s="95"/>
      <c r="GD61" s="95"/>
      <c r="GE61" s="95"/>
      <c r="GF61" s="95"/>
      <c r="GG61" s="95"/>
      <c r="GH61" s="95"/>
      <c r="GI61" s="95"/>
      <c r="GJ61" s="95"/>
      <c r="GK61" s="95"/>
      <c r="GL61" s="95"/>
      <c r="GM61" s="95"/>
      <c r="GN61" s="95"/>
      <c r="GO61" s="95"/>
      <c r="GP61" s="95"/>
      <c r="GQ61" s="95"/>
      <c r="GR61" s="95"/>
      <c r="GS61" s="95"/>
      <c r="GT61" s="95"/>
      <c r="GU61" s="95"/>
    </row>
    <row r="62" spans="1:203" s="46" customFormat="1" ht="15.75" customHeight="1" x14ac:dyDescent="0.25">
      <c r="A62" s="86" t="s">
        <v>141</v>
      </c>
      <c r="B62" s="38"/>
      <c r="C62" s="120">
        <f>C60+C61</f>
        <v>1140</v>
      </c>
      <c r="D62" s="645">
        <f t="shared" ref="D62:D63" si="4">F62/C62</f>
        <v>8</v>
      </c>
      <c r="E62" s="120">
        <f>E60+E61</f>
        <v>38</v>
      </c>
      <c r="F62" s="120">
        <f>F60+F61</f>
        <v>9120</v>
      </c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5"/>
      <c r="BG62" s="95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5"/>
      <c r="BT62" s="95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  <c r="CW62" s="95"/>
      <c r="CX62" s="95"/>
      <c r="CY62" s="95"/>
      <c r="CZ62" s="95"/>
      <c r="DA62" s="95"/>
      <c r="DB62" s="95"/>
      <c r="DC62" s="95"/>
      <c r="DD62" s="95"/>
      <c r="DE62" s="95"/>
      <c r="DF62" s="95"/>
      <c r="DG62" s="95"/>
      <c r="DH62" s="95"/>
      <c r="DI62" s="95"/>
      <c r="DJ62" s="95"/>
      <c r="DK62" s="95"/>
      <c r="DL62" s="95"/>
      <c r="DM62" s="95"/>
      <c r="DN62" s="95"/>
      <c r="DO62" s="95"/>
      <c r="DP62" s="95"/>
      <c r="DQ62" s="95"/>
      <c r="DR62" s="95"/>
      <c r="DS62" s="95"/>
      <c r="DT62" s="95"/>
      <c r="DU62" s="95"/>
      <c r="DV62" s="95"/>
      <c r="DW62" s="95"/>
      <c r="DX62" s="95"/>
      <c r="DY62" s="95"/>
      <c r="DZ62" s="95"/>
      <c r="EA62" s="95"/>
      <c r="EB62" s="95"/>
      <c r="EC62" s="95"/>
      <c r="ED62" s="95"/>
      <c r="EE62" s="95"/>
      <c r="EF62" s="95"/>
      <c r="EG62" s="95"/>
      <c r="EH62" s="95"/>
      <c r="EI62" s="95"/>
      <c r="EJ62" s="95"/>
      <c r="EK62" s="95"/>
      <c r="EL62" s="95"/>
      <c r="EM62" s="95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5"/>
      <c r="FA62" s="95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5"/>
      <c r="FO62" s="95"/>
      <c r="FP62" s="95"/>
      <c r="FQ62" s="95"/>
      <c r="FR62" s="95"/>
      <c r="FS62" s="95"/>
      <c r="FT62" s="95"/>
      <c r="FU62" s="95"/>
      <c r="FV62" s="95"/>
      <c r="FW62" s="95"/>
      <c r="FX62" s="95"/>
      <c r="FY62" s="95"/>
      <c r="FZ62" s="95"/>
      <c r="GA62" s="95"/>
      <c r="GB62" s="95"/>
      <c r="GC62" s="95"/>
      <c r="GD62" s="95"/>
      <c r="GE62" s="95"/>
      <c r="GF62" s="95"/>
      <c r="GG62" s="95"/>
      <c r="GH62" s="95"/>
      <c r="GI62" s="95"/>
      <c r="GJ62" s="95"/>
      <c r="GK62" s="95"/>
      <c r="GL62" s="95"/>
      <c r="GM62" s="95"/>
      <c r="GN62" s="95"/>
      <c r="GO62" s="95"/>
      <c r="GP62" s="95"/>
      <c r="GQ62" s="95"/>
      <c r="GR62" s="95"/>
      <c r="GS62" s="95"/>
      <c r="GT62" s="95"/>
      <c r="GU62" s="95"/>
    </row>
    <row r="63" spans="1:203" s="46" customFormat="1" ht="15" customHeight="1" x14ac:dyDescent="0.25">
      <c r="A63" s="646" t="s">
        <v>116</v>
      </c>
      <c r="B63" s="2"/>
      <c r="C63" s="120">
        <f>C62</f>
        <v>1140</v>
      </c>
      <c r="D63" s="645">
        <f t="shared" si="4"/>
        <v>8</v>
      </c>
      <c r="E63" s="120">
        <f>E62</f>
        <v>38</v>
      </c>
      <c r="F63" s="120">
        <f>F62</f>
        <v>9120</v>
      </c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</row>
    <row r="64" spans="1:203" ht="18.75" customHeight="1" x14ac:dyDescent="0.25">
      <c r="A64" s="193" t="s">
        <v>92</v>
      </c>
      <c r="B64" s="118"/>
      <c r="C64" s="65">
        <f>C65+C67</f>
        <v>5005</v>
      </c>
      <c r="D64" s="78"/>
      <c r="E64" s="118"/>
      <c r="F64" s="118"/>
    </row>
    <row r="65" spans="1:6" x14ac:dyDescent="0.25">
      <c r="A65" s="190" t="s">
        <v>167</v>
      </c>
      <c r="B65" s="121"/>
      <c r="C65" s="151">
        <f>C66</f>
        <v>5000</v>
      </c>
      <c r="D65" s="59"/>
      <c r="E65" s="194"/>
      <c r="F65" s="121"/>
    </row>
    <row r="66" spans="1:6" x14ac:dyDescent="0.25">
      <c r="A66" s="123" t="s">
        <v>168</v>
      </c>
      <c r="B66" s="121"/>
      <c r="C66" s="633">
        <v>5000</v>
      </c>
      <c r="D66" s="121"/>
      <c r="E66" s="121"/>
      <c r="F66" s="121"/>
    </row>
    <row r="67" spans="1:6" x14ac:dyDescent="0.25">
      <c r="A67" s="122" t="s">
        <v>169</v>
      </c>
      <c r="B67" s="121"/>
      <c r="C67" s="632">
        <f>C68+C69</f>
        <v>5</v>
      </c>
      <c r="D67" s="121"/>
      <c r="E67" s="121"/>
      <c r="F67" s="121"/>
    </row>
    <row r="68" spans="1:6" ht="30" x14ac:dyDescent="0.25">
      <c r="A68" s="123" t="s">
        <v>170</v>
      </c>
      <c r="B68" s="121"/>
      <c r="C68" s="125">
        <f>10-5</f>
        <v>5</v>
      </c>
      <c r="D68" s="121"/>
      <c r="E68" s="121"/>
      <c r="F68" s="121"/>
    </row>
    <row r="69" spans="1:6" ht="15.75" thickBot="1" x14ac:dyDescent="0.3">
      <c r="A69" s="126" t="s">
        <v>171</v>
      </c>
      <c r="B69" s="127"/>
      <c r="C69" s="127"/>
      <c r="D69" s="127"/>
      <c r="E69" s="127"/>
      <c r="F69" s="127"/>
    </row>
  </sheetData>
  <mergeCells count="7">
    <mergeCell ref="G8:H8"/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15748031496062992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9"/>
  <sheetViews>
    <sheetView zoomScale="80" zoomScaleNormal="80" zoomScaleSheetLayoutView="75" workbookViewId="0">
      <pane xSplit="1" ySplit="7" topLeftCell="B20" activePane="bottomRight" state="frozen"/>
      <selection activeCell="J562" sqref="J562"/>
      <selection pane="topRight" activeCell="J562" sqref="J562"/>
      <selection pane="bottomLeft" activeCell="J562" sqref="J562"/>
      <selection pane="bottomRight" activeCell="J562" sqref="J562"/>
    </sheetView>
  </sheetViews>
  <sheetFormatPr defaultColWidth="11.42578125" defaultRowHeight="15" x14ac:dyDescent="0.25"/>
  <cols>
    <col min="1" max="1" width="46.42578125" style="95" customWidth="1"/>
    <col min="2" max="2" width="11.28515625" style="95" customWidth="1"/>
    <col min="3" max="3" width="13.85546875" style="95" customWidth="1"/>
    <col min="4" max="4" width="11.140625" style="95" customWidth="1"/>
    <col min="5" max="5" width="16.28515625" style="95" customWidth="1"/>
    <col min="6" max="6" width="11.5703125" style="95" customWidth="1"/>
    <col min="7" max="16384" width="11.42578125" style="95"/>
  </cols>
  <sheetData>
    <row r="1" spans="1:8" s="66" customFormat="1" ht="9.75" customHeight="1" x14ac:dyDescent="0.25">
      <c r="E1" s="129"/>
    </row>
    <row r="2" spans="1:8" s="66" customFormat="1" ht="30.75" customHeight="1" x14ac:dyDescent="0.25">
      <c r="A2" s="682" t="s">
        <v>293</v>
      </c>
      <c r="B2" s="712"/>
      <c r="C2" s="712"/>
      <c r="D2" s="712"/>
      <c r="E2" s="712"/>
      <c r="F2" s="712"/>
    </row>
    <row r="3" spans="1:8" ht="15.75" thickBot="1" x14ac:dyDescent="0.3">
      <c r="A3" s="713"/>
      <c r="B3" s="713"/>
      <c r="C3" s="713"/>
      <c r="D3" s="713"/>
      <c r="E3" s="713"/>
      <c r="F3" s="713"/>
    </row>
    <row r="4" spans="1:8" ht="36.75" customHeight="1" x14ac:dyDescent="0.3">
      <c r="A4" s="8" t="s">
        <v>175</v>
      </c>
      <c r="B4" s="687" t="s">
        <v>1</v>
      </c>
      <c r="C4" s="709" t="s">
        <v>256</v>
      </c>
      <c r="D4" s="693" t="s">
        <v>0</v>
      </c>
      <c r="E4" s="687" t="s">
        <v>2</v>
      </c>
      <c r="F4" s="690" t="s">
        <v>204</v>
      </c>
    </row>
    <row r="5" spans="1:8" ht="30.75" customHeight="1" x14ac:dyDescent="0.3">
      <c r="A5" s="9"/>
      <c r="B5" s="688"/>
      <c r="C5" s="710"/>
      <c r="D5" s="694"/>
      <c r="E5" s="688"/>
      <c r="F5" s="691"/>
    </row>
    <row r="6" spans="1:8" ht="30" customHeight="1" thickBot="1" x14ac:dyDescent="0.3">
      <c r="A6" s="10" t="s">
        <v>3</v>
      </c>
      <c r="B6" s="689"/>
      <c r="C6" s="711"/>
      <c r="D6" s="695"/>
      <c r="E6" s="689"/>
      <c r="F6" s="692"/>
    </row>
    <row r="7" spans="1:8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8" ht="29.25" x14ac:dyDescent="0.25">
      <c r="A8" s="716" t="s">
        <v>179</v>
      </c>
      <c r="B8" s="104"/>
      <c r="C8" s="144"/>
      <c r="D8" s="144"/>
      <c r="E8" s="144"/>
      <c r="F8" s="144"/>
      <c r="G8" s="647"/>
      <c r="H8" s="648"/>
    </row>
    <row r="9" spans="1:8" x14ac:dyDescent="0.25">
      <c r="A9" s="69" t="s">
        <v>4</v>
      </c>
      <c r="B9" s="100"/>
      <c r="C9" s="45"/>
      <c r="D9" s="45"/>
      <c r="E9" s="45"/>
      <c r="F9" s="45"/>
    </row>
    <row r="10" spans="1:8" x14ac:dyDescent="0.25">
      <c r="A10" s="59" t="s">
        <v>21</v>
      </c>
      <c r="B10" s="2">
        <v>340</v>
      </c>
      <c r="C10" s="45">
        <v>1330</v>
      </c>
      <c r="D10" s="105">
        <v>11.5</v>
      </c>
      <c r="E10" s="100">
        <f t="shared" ref="E10" si="0">ROUND(F10/B10,0)</f>
        <v>45</v>
      </c>
      <c r="F10" s="3">
        <f t="shared" ref="F10" si="1">ROUND(C10*D10,0)</f>
        <v>15295</v>
      </c>
    </row>
    <row r="11" spans="1:8" x14ac:dyDescent="0.25">
      <c r="A11" s="59" t="s">
        <v>22</v>
      </c>
      <c r="B11" s="2">
        <v>340</v>
      </c>
      <c r="C11" s="45">
        <v>250</v>
      </c>
      <c r="D11" s="105">
        <v>11</v>
      </c>
      <c r="E11" s="100">
        <f t="shared" ref="E11:E19" si="2">ROUND(F11/B11,0)</f>
        <v>8</v>
      </c>
      <c r="F11" s="3">
        <f t="shared" ref="F11:F19" si="3">ROUND(C11*D11,0)</f>
        <v>2750</v>
      </c>
    </row>
    <row r="12" spans="1:8" x14ac:dyDescent="0.25">
      <c r="A12" s="59" t="s">
        <v>11</v>
      </c>
      <c r="B12" s="2">
        <v>340</v>
      </c>
      <c r="C12" s="45">
        <v>1150</v>
      </c>
      <c r="D12" s="105">
        <v>9</v>
      </c>
      <c r="E12" s="100">
        <f t="shared" si="2"/>
        <v>30</v>
      </c>
      <c r="F12" s="3">
        <f t="shared" si="3"/>
        <v>10350</v>
      </c>
    </row>
    <row r="13" spans="1:8" x14ac:dyDescent="0.25">
      <c r="A13" s="59" t="s">
        <v>27</v>
      </c>
      <c r="B13" s="2">
        <v>270</v>
      </c>
      <c r="C13" s="45">
        <v>470</v>
      </c>
      <c r="D13" s="105">
        <v>6.5</v>
      </c>
      <c r="E13" s="100">
        <f t="shared" si="2"/>
        <v>11</v>
      </c>
      <c r="F13" s="3">
        <f t="shared" si="3"/>
        <v>3055</v>
      </c>
    </row>
    <row r="14" spans="1:8" x14ac:dyDescent="0.25">
      <c r="A14" s="59" t="s">
        <v>28</v>
      </c>
      <c r="B14" s="2">
        <v>300</v>
      </c>
      <c r="C14" s="45">
        <v>320</v>
      </c>
      <c r="D14" s="105">
        <v>6.3</v>
      </c>
      <c r="E14" s="100">
        <f t="shared" si="2"/>
        <v>7</v>
      </c>
      <c r="F14" s="3">
        <f t="shared" si="3"/>
        <v>2016</v>
      </c>
    </row>
    <row r="15" spans="1:8" ht="30" x14ac:dyDescent="0.25">
      <c r="A15" s="575" t="s">
        <v>99</v>
      </c>
      <c r="B15" s="2">
        <v>300</v>
      </c>
      <c r="C15" s="45">
        <v>20</v>
      </c>
      <c r="D15" s="60">
        <v>11</v>
      </c>
      <c r="E15" s="100">
        <f t="shared" si="2"/>
        <v>1</v>
      </c>
      <c r="F15" s="3">
        <f t="shared" si="3"/>
        <v>220</v>
      </c>
      <c r="H15" s="95">
        <f>2+9+16+19+3+14+1</f>
        <v>64</v>
      </c>
    </row>
    <row r="16" spans="1:8" x14ac:dyDescent="0.25">
      <c r="A16" s="59" t="s">
        <v>24</v>
      </c>
      <c r="B16" s="2">
        <v>340</v>
      </c>
      <c r="C16" s="45">
        <v>150</v>
      </c>
      <c r="D16" s="60">
        <v>7.7</v>
      </c>
      <c r="E16" s="100">
        <f t="shared" si="2"/>
        <v>3</v>
      </c>
      <c r="F16" s="3">
        <f t="shared" si="3"/>
        <v>1155</v>
      </c>
    </row>
    <row r="17" spans="1:8" x14ac:dyDescent="0.25">
      <c r="A17" s="59" t="s">
        <v>23</v>
      </c>
      <c r="B17" s="2">
        <v>340</v>
      </c>
      <c r="C17" s="45">
        <v>660</v>
      </c>
      <c r="D17" s="105">
        <v>6</v>
      </c>
      <c r="E17" s="100">
        <f t="shared" si="2"/>
        <v>12</v>
      </c>
      <c r="F17" s="3">
        <f t="shared" si="3"/>
        <v>3960</v>
      </c>
    </row>
    <row r="18" spans="1:8" x14ac:dyDescent="0.25">
      <c r="A18" s="59" t="s">
        <v>26</v>
      </c>
      <c r="B18" s="2">
        <v>320</v>
      </c>
      <c r="C18" s="45">
        <v>445</v>
      </c>
      <c r="D18" s="105">
        <v>8.6</v>
      </c>
      <c r="E18" s="100">
        <f t="shared" si="2"/>
        <v>12</v>
      </c>
      <c r="F18" s="3">
        <f t="shared" si="3"/>
        <v>3827</v>
      </c>
    </row>
    <row r="19" spans="1:8" x14ac:dyDescent="0.25">
      <c r="A19" s="36" t="s">
        <v>183</v>
      </c>
      <c r="B19" s="2">
        <v>330</v>
      </c>
      <c r="C19" s="45">
        <v>50</v>
      </c>
      <c r="D19" s="105">
        <v>10</v>
      </c>
      <c r="E19" s="100">
        <f t="shared" si="2"/>
        <v>2</v>
      </c>
      <c r="F19" s="3">
        <f t="shared" si="3"/>
        <v>500</v>
      </c>
    </row>
    <row r="20" spans="1:8" s="46" customFormat="1" ht="15.75" customHeight="1" x14ac:dyDescent="0.25">
      <c r="A20" s="106" t="s">
        <v>5</v>
      </c>
      <c r="B20" s="63"/>
      <c r="C20" s="47">
        <f>SUM(C10:C19)</f>
        <v>4845</v>
      </c>
      <c r="D20" s="102">
        <f>F20/C20</f>
        <v>8.9015479876160999</v>
      </c>
      <c r="E20" s="108">
        <f>SUM(E10:E19)</f>
        <v>131</v>
      </c>
      <c r="F20" s="108">
        <f>SUM(F10:F19)</f>
        <v>43128</v>
      </c>
    </row>
    <row r="21" spans="1:8" s="20" customFormat="1" hidden="1" x14ac:dyDescent="0.25">
      <c r="A21" s="4" t="s">
        <v>199</v>
      </c>
      <c r="B21" s="5">
        <v>350</v>
      </c>
      <c r="C21" s="13"/>
      <c r="D21" s="14"/>
      <c r="E21" s="3"/>
      <c r="F21" s="13"/>
    </row>
    <row r="22" spans="1:8" s="20" customFormat="1" ht="14.25" hidden="1" x14ac:dyDescent="0.2">
      <c r="A22" s="15" t="s">
        <v>200</v>
      </c>
      <c r="B22" s="16"/>
      <c r="C22" s="19">
        <f t="shared" ref="C22" si="4">C20+C21</f>
        <v>4845</v>
      </c>
      <c r="D22" s="17" t="e">
        <f>#REF!/#REF!</f>
        <v>#REF!</v>
      </c>
      <c r="E22" s="19">
        <f t="shared" ref="E22:F22" si="5">E20+E21</f>
        <v>131</v>
      </c>
      <c r="F22" s="19">
        <f t="shared" si="5"/>
        <v>43128</v>
      </c>
    </row>
    <row r="23" spans="1:8" s="46" customFormat="1" ht="21" customHeight="1" x14ac:dyDescent="0.25">
      <c r="A23" s="21" t="s">
        <v>205</v>
      </c>
      <c r="B23" s="21"/>
      <c r="C23" s="74"/>
      <c r="D23" s="74"/>
      <c r="E23" s="74"/>
      <c r="F23" s="56"/>
    </row>
    <row r="24" spans="1:8" s="46" customFormat="1" ht="29.25" customHeight="1" x14ac:dyDescent="0.25">
      <c r="A24" s="23" t="s">
        <v>321</v>
      </c>
      <c r="B24" s="47"/>
      <c r="C24" s="45">
        <f>SUM(C26,C27,C28,C29)+C25/2.7</f>
        <v>51507.037037037036</v>
      </c>
      <c r="D24" s="51"/>
      <c r="E24" s="51"/>
      <c r="F24" s="56"/>
    </row>
    <row r="25" spans="1:8" s="46" customFormat="1" ht="15.75" customHeight="1" x14ac:dyDescent="0.25">
      <c r="A25" s="23" t="s">
        <v>286</v>
      </c>
      <c r="B25" s="28"/>
      <c r="C25" s="3">
        <f>3000+2500</f>
        <v>5500</v>
      </c>
      <c r="D25" s="28"/>
      <c r="E25" s="28"/>
      <c r="F25" s="28"/>
    </row>
    <row r="26" spans="1:8" s="46" customFormat="1" ht="15.75" customHeight="1" x14ac:dyDescent="0.25">
      <c r="A26" s="48" t="s">
        <v>206</v>
      </c>
      <c r="B26" s="47"/>
      <c r="C26" s="45"/>
      <c r="D26" s="51"/>
      <c r="E26" s="51"/>
      <c r="F26" s="56"/>
    </row>
    <row r="27" spans="1:8" s="46" customFormat="1" ht="15.75" customHeight="1" x14ac:dyDescent="0.25">
      <c r="A27" s="48" t="s">
        <v>207</v>
      </c>
      <c r="B27" s="47"/>
      <c r="C27" s="13">
        <v>10000</v>
      </c>
      <c r="D27" s="51"/>
      <c r="E27" s="51"/>
      <c r="F27" s="56"/>
    </row>
    <row r="28" spans="1:8" s="46" customFormat="1" ht="15.75" customHeight="1" x14ac:dyDescent="0.25">
      <c r="A28" s="48" t="s">
        <v>208</v>
      </c>
      <c r="B28" s="47"/>
      <c r="C28" s="13">
        <v>170</v>
      </c>
      <c r="D28" s="51"/>
      <c r="E28" s="51"/>
      <c r="F28" s="56"/>
    </row>
    <row r="29" spans="1:8" s="46" customFormat="1" ht="15.75" customHeight="1" x14ac:dyDescent="0.25">
      <c r="A29" s="23" t="s">
        <v>209</v>
      </c>
      <c r="B29" s="47"/>
      <c r="C29" s="13">
        <v>39300</v>
      </c>
      <c r="D29" s="51"/>
      <c r="E29" s="51"/>
      <c r="F29" s="56"/>
    </row>
    <row r="30" spans="1:8" s="46" customFormat="1" ht="51.75" customHeight="1" x14ac:dyDescent="0.25">
      <c r="A30" s="23" t="s">
        <v>285</v>
      </c>
      <c r="B30" s="47"/>
      <c r="C30" s="13">
        <v>552</v>
      </c>
      <c r="D30" s="45"/>
      <c r="E30" s="45"/>
      <c r="F30" s="45"/>
      <c r="G30" s="75"/>
    </row>
    <row r="31" spans="1:8" s="46" customFormat="1" x14ac:dyDescent="0.25">
      <c r="A31" s="24" t="s">
        <v>118</v>
      </c>
      <c r="B31" s="45"/>
      <c r="C31" s="13">
        <f>C32+C33</f>
        <v>25876.470588235294</v>
      </c>
      <c r="D31" s="45"/>
      <c r="E31" s="45"/>
      <c r="F31" s="45"/>
    </row>
    <row r="32" spans="1:8" s="46" customFormat="1" x14ac:dyDescent="0.25">
      <c r="A32" s="24" t="s">
        <v>259</v>
      </c>
      <c r="B32" s="45"/>
      <c r="C32" s="13">
        <f>25000-2300</f>
        <v>22700</v>
      </c>
      <c r="D32" s="139"/>
      <c r="E32" s="139"/>
      <c r="F32" s="139"/>
      <c r="G32" s="109"/>
      <c r="H32" s="109"/>
    </row>
    <row r="33" spans="1:8" s="46" customFormat="1" x14ac:dyDescent="0.25">
      <c r="A33" s="24" t="s">
        <v>261</v>
      </c>
      <c r="B33" s="45"/>
      <c r="C33" s="13">
        <f>C34/8.5</f>
        <v>3176.4705882352941</v>
      </c>
      <c r="D33" s="139"/>
      <c r="E33" s="139"/>
      <c r="F33" s="139"/>
      <c r="G33" s="64"/>
      <c r="H33" s="64"/>
    </row>
    <row r="34" spans="1:8" s="130" customFormat="1" x14ac:dyDescent="0.25">
      <c r="A34" s="44" t="s">
        <v>260</v>
      </c>
      <c r="B34" s="47"/>
      <c r="C34" s="3">
        <v>27000</v>
      </c>
      <c r="D34" s="136"/>
      <c r="E34" s="136"/>
      <c r="F34" s="136"/>
      <c r="G34" s="110"/>
      <c r="H34" s="110"/>
    </row>
    <row r="35" spans="1:8" s="130" customFormat="1" x14ac:dyDescent="0.25">
      <c r="A35" s="49" t="s">
        <v>210</v>
      </c>
      <c r="B35" s="50"/>
      <c r="C35" s="47">
        <f>C24+ROUND(C32*3.2,0)+C34/3.9</f>
        <v>131070.11396011396</v>
      </c>
      <c r="D35" s="136"/>
      <c r="E35" s="136"/>
      <c r="F35" s="136"/>
    </row>
    <row r="36" spans="1:8" s="130" customFormat="1" x14ac:dyDescent="0.25">
      <c r="A36" s="21" t="s">
        <v>153</v>
      </c>
      <c r="B36" s="22"/>
      <c r="C36" s="47"/>
      <c r="D36" s="136"/>
      <c r="E36" s="136"/>
      <c r="F36" s="136"/>
    </row>
    <row r="37" spans="1:8" s="130" customFormat="1" ht="36.75" customHeight="1" x14ac:dyDescent="0.25">
      <c r="A37" s="23" t="s">
        <v>321</v>
      </c>
      <c r="B37" s="22"/>
      <c r="C37" s="3">
        <f>SUM(C38,C39,C46,C52,C53,C54)</f>
        <v>37216</v>
      </c>
      <c r="D37" s="136"/>
      <c r="E37" s="136"/>
      <c r="F37" s="136"/>
    </row>
    <row r="38" spans="1:8" s="130" customFormat="1" ht="17.25" customHeight="1" x14ac:dyDescent="0.25">
      <c r="A38" s="23" t="s">
        <v>206</v>
      </c>
      <c r="B38" s="22"/>
      <c r="C38" s="3"/>
      <c r="D38" s="136"/>
      <c r="E38" s="136"/>
      <c r="F38" s="136"/>
    </row>
    <row r="39" spans="1:8" s="130" customFormat="1" ht="30" x14ac:dyDescent="0.25">
      <c r="A39" s="48" t="s">
        <v>211</v>
      </c>
      <c r="B39" s="22"/>
      <c r="C39" s="3">
        <f>SUM(C40,C41,C42,C44)</f>
        <v>6239</v>
      </c>
      <c r="D39" s="136"/>
      <c r="E39" s="136"/>
      <c r="F39" s="136"/>
    </row>
    <row r="40" spans="1:8" s="130" customFormat="1" ht="30" x14ac:dyDescent="0.25">
      <c r="A40" s="52" t="s">
        <v>212</v>
      </c>
      <c r="B40" s="22"/>
      <c r="C40" s="42">
        <f>5467-2467</f>
        <v>3000</v>
      </c>
      <c r="D40" s="136"/>
      <c r="E40" s="136"/>
      <c r="F40" s="136"/>
    </row>
    <row r="41" spans="1:8" s="130" customFormat="1" ht="30" x14ac:dyDescent="0.25">
      <c r="A41" s="52" t="s">
        <v>213</v>
      </c>
      <c r="B41" s="22"/>
      <c r="C41" s="42">
        <v>1580</v>
      </c>
      <c r="D41" s="136"/>
      <c r="E41" s="136"/>
      <c r="F41" s="136"/>
    </row>
    <row r="42" spans="1:8" s="130" customFormat="1" ht="45" x14ac:dyDescent="0.25">
      <c r="A42" s="52" t="s">
        <v>214</v>
      </c>
      <c r="B42" s="22"/>
      <c r="C42" s="42">
        <v>458</v>
      </c>
      <c r="D42" s="136"/>
      <c r="E42" s="136"/>
      <c r="F42" s="136"/>
    </row>
    <row r="43" spans="1:8" s="130" customFormat="1" x14ac:dyDescent="0.25">
      <c r="A43" s="52" t="s">
        <v>215</v>
      </c>
      <c r="B43" s="22"/>
      <c r="C43" s="42">
        <v>54</v>
      </c>
      <c r="D43" s="136"/>
      <c r="E43" s="136"/>
      <c r="F43" s="136"/>
    </row>
    <row r="44" spans="1:8" s="130" customFormat="1" ht="30" x14ac:dyDescent="0.25">
      <c r="A44" s="52" t="s">
        <v>216</v>
      </c>
      <c r="B44" s="22"/>
      <c r="C44" s="42">
        <v>1201</v>
      </c>
      <c r="D44" s="136"/>
      <c r="E44" s="136"/>
      <c r="F44" s="136"/>
    </row>
    <row r="45" spans="1:8" s="130" customFormat="1" x14ac:dyDescent="0.25">
      <c r="A45" s="52" t="s">
        <v>215</v>
      </c>
      <c r="B45" s="22"/>
      <c r="C45" s="42">
        <v>127</v>
      </c>
      <c r="D45" s="136"/>
      <c r="E45" s="136"/>
      <c r="F45" s="136"/>
    </row>
    <row r="46" spans="1:8" s="130" customFormat="1" ht="31.5" customHeight="1" x14ac:dyDescent="0.25">
      <c r="A46" s="48" t="s">
        <v>217</v>
      </c>
      <c r="B46" s="22"/>
      <c r="C46" s="42">
        <f>C47+C48+C50+C52</f>
        <v>30977</v>
      </c>
      <c r="D46" s="136"/>
      <c r="E46" s="136"/>
      <c r="F46" s="136"/>
    </row>
    <row r="47" spans="1:8" s="130" customFormat="1" ht="30" x14ac:dyDescent="0.25">
      <c r="A47" s="52" t="s">
        <v>218</v>
      </c>
      <c r="B47" s="22"/>
      <c r="C47" s="3">
        <v>4900</v>
      </c>
      <c r="D47" s="136"/>
      <c r="E47" s="136"/>
      <c r="F47" s="136"/>
    </row>
    <row r="48" spans="1:8" s="130" customFormat="1" ht="45" x14ac:dyDescent="0.25">
      <c r="A48" s="52" t="s">
        <v>219</v>
      </c>
      <c r="B48" s="22"/>
      <c r="C48" s="42">
        <v>22700</v>
      </c>
      <c r="D48" s="136"/>
      <c r="E48" s="136"/>
      <c r="F48" s="136"/>
      <c r="H48" s="157"/>
    </row>
    <row r="49" spans="1:6" s="130" customFormat="1" x14ac:dyDescent="0.25">
      <c r="A49" s="52" t="s">
        <v>215</v>
      </c>
      <c r="B49" s="22"/>
      <c r="C49" s="42">
        <v>6135</v>
      </c>
      <c r="D49" s="136"/>
      <c r="E49" s="136"/>
      <c r="F49" s="136"/>
    </row>
    <row r="50" spans="1:6" s="130" customFormat="1" ht="45" x14ac:dyDescent="0.25">
      <c r="A50" s="52" t="s">
        <v>220</v>
      </c>
      <c r="B50" s="22"/>
      <c r="C50" s="42">
        <v>3377</v>
      </c>
      <c r="D50" s="136"/>
      <c r="E50" s="136"/>
      <c r="F50" s="136"/>
    </row>
    <row r="51" spans="1:6" s="130" customFormat="1" x14ac:dyDescent="0.25">
      <c r="A51" s="52" t="s">
        <v>215</v>
      </c>
      <c r="B51" s="22"/>
      <c r="C51" s="42">
        <v>2077</v>
      </c>
      <c r="D51" s="136"/>
      <c r="E51" s="136"/>
      <c r="F51" s="136"/>
    </row>
    <row r="52" spans="1:6" s="130" customFormat="1" ht="45" x14ac:dyDescent="0.25">
      <c r="A52" s="48" t="s">
        <v>221</v>
      </c>
      <c r="B52" s="22"/>
      <c r="C52" s="42"/>
      <c r="D52" s="136"/>
      <c r="E52" s="136"/>
      <c r="F52" s="136"/>
    </row>
    <row r="53" spans="1:6" s="130" customFormat="1" ht="30" x14ac:dyDescent="0.25">
      <c r="A53" s="48" t="s">
        <v>222</v>
      </c>
      <c r="B53" s="22"/>
      <c r="C53" s="42"/>
      <c r="D53" s="136"/>
      <c r="E53" s="136"/>
      <c r="F53" s="136"/>
    </row>
    <row r="54" spans="1:6" s="130" customFormat="1" x14ac:dyDescent="0.25">
      <c r="A54" s="23" t="s">
        <v>223</v>
      </c>
      <c r="B54" s="22"/>
      <c r="C54" s="42"/>
      <c r="D54" s="136"/>
      <c r="E54" s="136"/>
      <c r="F54" s="136"/>
    </row>
    <row r="55" spans="1:6" s="130" customFormat="1" x14ac:dyDescent="0.25">
      <c r="A55" s="24" t="s">
        <v>118</v>
      </c>
      <c r="B55" s="47"/>
      <c r="C55" s="42"/>
      <c r="D55" s="136"/>
      <c r="E55" s="136"/>
      <c r="F55" s="136"/>
    </row>
    <row r="56" spans="1:6" s="130" customFormat="1" x14ac:dyDescent="0.25">
      <c r="A56" s="44" t="s">
        <v>150</v>
      </c>
      <c r="B56" s="47"/>
      <c r="C56" s="3"/>
      <c r="D56" s="136"/>
      <c r="E56" s="136"/>
      <c r="F56" s="136"/>
    </row>
    <row r="57" spans="1:6" s="46" customFormat="1" ht="30" x14ac:dyDescent="0.25">
      <c r="A57" s="24" t="s">
        <v>119</v>
      </c>
      <c r="B57" s="45"/>
      <c r="C57" s="3">
        <v>8300</v>
      </c>
      <c r="D57" s="45"/>
      <c r="E57" s="45"/>
      <c r="F57" s="45"/>
    </row>
    <row r="58" spans="1:6" s="46" customFormat="1" ht="30" x14ac:dyDescent="0.25">
      <c r="A58" s="137" t="s">
        <v>224</v>
      </c>
      <c r="B58" s="22"/>
      <c r="C58" s="3">
        <v>910</v>
      </c>
      <c r="D58" s="45"/>
      <c r="E58" s="45"/>
      <c r="F58" s="45"/>
    </row>
    <row r="59" spans="1:6" s="46" customFormat="1" ht="15.75" customHeight="1" x14ac:dyDescent="0.25">
      <c r="A59" s="53"/>
      <c r="B59" s="22"/>
      <c r="C59" s="3"/>
      <c r="D59" s="45"/>
      <c r="E59" s="45"/>
      <c r="F59" s="45"/>
    </row>
    <row r="60" spans="1:6" s="46" customFormat="1" x14ac:dyDescent="0.25">
      <c r="A60" s="54" t="s">
        <v>152</v>
      </c>
      <c r="B60" s="22"/>
      <c r="C60" s="18">
        <f>C37+ROUND(C55*3.2,0)+C57</f>
        <v>45516</v>
      </c>
      <c r="D60" s="45"/>
      <c r="E60" s="45"/>
      <c r="F60" s="45"/>
    </row>
    <row r="61" spans="1:6" s="46" customFormat="1" ht="17.25" customHeight="1" x14ac:dyDescent="0.25">
      <c r="A61" s="191" t="s">
        <v>151</v>
      </c>
      <c r="B61" s="22"/>
      <c r="C61" s="18">
        <f>SUM(C35,C60)</f>
        <v>176586.11396011396</v>
      </c>
      <c r="D61" s="45"/>
      <c r="E61" s="45"/>
      <c r="F61" s="45"/>
    </row>
    <row r="62" spans="1:6" s="46" customFormat="1" ht="17.25" customHeight="1" x14ac:dyDescent="0.25">
      <c r="A62" s="191" t="s">
        <v>120</v>
      </c>
      <c r="B62" s="22"/>
      <c r="C62" s="18">
        <f>SUM(C63:C64)</f>
        <v>30</v>
      </c>
      <c r="D62" s="45"/>
      <c r="E62" s="45"/>
      <c r="F62" s="45"/>
    </row>
    <row r="63" spans="1:6" s="46" customFormat="1" ht="63.75" customHeight="1" x14ac:dyDescent="0.25">
      <c r="A63" s="24" t="s">
        <v>288</v>
      </c>
      <c r="B63" s="22"/>
      <c r="C63" s="3">
        <v>15</v>
      </c>
      <c r="D63" s="45"/>
      <c r="E63" s="45"/>
      <c r="F63" s="45"/>
    </row>
    <row r="64" spans="1:6" s="46" customFormat="1" ht="64.5" customHeight="1" x14ac:dyDescent="0.25">
      <c r="A64" s="24" t="s">
        <v>287</v>
      </c>
      <c r="B64" s="22"/>
      <c r="C64" s="3">
        <v>15</v>
      </c>
      <c r="D64" s="45"/>
      <c r="E64" s="45"/>
      <c r="F64" s="45"/>
    </row>
    <row r="65" spans="1:6" s="46" customFormat="1" ht="17.25" customHeight="1" x14ac:dyDescent="0.25">
      <c r="A65" s="27" t="s">
        <v>7</v>
      </c>
      <c r="B65" s="79"/>
      <c r="C65" s="45"/>
      <c r="D65" s="45"/>
      <c r="E65" s="45"/>
      <c r="F65" s="45"/>
    </row>
    <row r="66" spans="1:6" s="46" customFormat="1" ht="17.25" customHeight="1" x14ac:dyDescent="0.25">
      <c r="A66" s="43" t="s">
        <v>139</v>
      </c>
      <c r="B66" s="79"/>
      <c r="C66" s="45"/>
      <c r="D66" s="45"/>
      <c r="E66" s="45"/>
      <c r="F66" s="45"/>
    </row>
    <row r="67" spans="1:6" s="46" customFormat="1" ht="17.25" customHeight="1" x14ac:dyDescent="0.25">
      <c r="A67" s="29" t="s">
        <v>21</v>
      </c>
      <c r="B67" s="79">
        <v>300</v>
      </c>
      <c r="C67" s="45">
        <f>410-4</f>
        <v>406</v>
      </c>
      <c r="D67" s="160">
        <v>10</v>
      </c>
      <c r="E67" s="100">
        <f t="shared" ref="E67:E68" si="6">ROUND(F67/B67,0)</f>
        <v>14</v>
      </c>
      <c r="F67" s="3">
        <f t="shared" ref="F67:F68" si="7">ROUND(C67*D67,0)</f>
        <v>4060</v>
      </c>
    </row>
    <row r="68" spans="1:6" s="46" customFormat="1" ht="17.25" customHeight="1" x14ac:dyDescent="0.25">
      <c r="A68" s="29" t="s">
        <v>26</v>
      </c>
      <c r="B68" s="79">
        <v>300</v>
      </c>
      <c r="C68" s="45">
        <f>30-8</f>
        <v>22</v>
      </c>
      <c r="D68" s="160">
        <v>8.5</v>
      </c>
      <c r="E68" s="100">
        <f t="shared" si="6"/>
        <v>1</v>
      </c>
      <c r="F68" s="3">
        <f t="shared" si="7"/>
        <v>187</v>
      </c>
    </row>
    <row r="69" spans="1:6" s="46" customFormat="1" ht="17.25" customHeight="1" x14ac:dyDescent="0.25">
      <c r="A69" s="34" t="s">
        <v>9</v>
      </c>
      <c r="B69" s="161"/>
      <c r="C69" s="93">
        <f>SUM(C67:C68)</f>
        <v>428</v>
      </c>
      <c r="D69" s="102">
        <f>F69/C69</f>
        <v>9.9228971962616814</v>
      </c>
      <c r="E69" s="101">
        <f t="shared" ref="E69:F69" si="8">SUM(E67:E68)</f>
        <v>15</v>
      </c>
      <c r="F69" s="93">
        <f t="shared" si="8"/>
        <v>4247</v>
      </c>
    </row>
    <row r="70" spans="1:6" s="46" customFormat="1" ht="17.25" customHeight="1" x14ac:dyDescent="0.25">
      <c r="A70" s="43" t="s">
        <v>20</v>
      </c>
      <c r="B70" s="161"/>
      <c r="C70" s="93"/>
      <c r="D70" s="102"/>
      <c r="E70" s="101"/>
      <c r="F70" s="93"/>
    </row>
    <row r="71" spans="1:6" s="46" customFormat="1" ht="16.5" customHeight="1" x14ac:dyDescent="0.25">
      <c r="A71" s="1" t="s">
        <v>21</v>
      </c>
      <c r="B71" s="159">
        <v>240</v>
      </c>
      <c r="C71" s="134">
        <f>650-30</f>
        <v>620</v>
      </c>
      <c r="D71" s="163">
        <v>8</v>
      </c>
      <c r="E71" s="132">
        <f>ROUND(F71/B71,0)</f>
        <v>21</v>
      </c>
      <c r="F71" s="3">
        <f>ROUND(C71*D71,0)</f>
        <v>4960</v>
      </c>
    </row>
    <row r="72" spans="1:6" s="46" customFormat="1" ht="16.5" customHeight="1" x14ac:dyDescent="0.25">
      <c r="A72" s="192" t="s">
        <v>141</v>
      </c>
      <c r="B72" s="649"/>
      <c r="C72" s="112">
        <f>SUM(C71)</f>
        <v>620</v>
      </c>
      <c r="D72" s="102">
        <f t="shared" ref="D72:D73" si="9">F72/C72</f>
        <v>8</v>
      </c>
      <c r="E72" s="112">
        <f t="shared" ref="E72:F72" si="10">SUM(E71)</f>
        <v>21</v>
      </c>
      <c r="F72" s="112">
        <f t="shared" si="10"/>
        <v>4960</v>
      </c>
    </row>
    <row r="73" spans="1:6" ht="22.5" customHeight="1" x14ac:dyDescent="0.25">
      <c r="A73" s="73" t="s">
        <v>117</v>
      </c>
      <c r="B73" s="650"/>
      <c r="C73" s="47">
        <f>C72+C69</f>
        <v>1048</v>
      </c>
      <c r="D73" s="102">
        <f t="shared" si="9"/>
        <v>8.7853053435114496</v>
      </c>
      <c r="E73" s="651">
        <f>E72+E69</f>
        <v>36</v>
      </c>
      <c r="F73" s="651">
        <f>F72+F69</f>
        <v>9207</v>
      </c>
    </row>
    <row r="74" spans="1:6" ht="18.75" customHeight="1" x14ac:dyDescent="0.25">
      <c r="A74" s="193" t="s">
        <v>92</v>
      </c>
      <c r="B74" s="118"/>
      <c r="C74" s="65">
        <f>C75+C77</f>
        <v>9375</v>
      </c>
      <c r="D74" s="78"/>
      <c r="E74" s="118"/>
      <c r="F74" s="118"/>
    </row>
    <row r="75" spans="1:6" x14ac:dyDescent="0.25">
      <c r="A75" s="190" t="s">
        <v>167</v>
      </c>
      <c r="B75" s="121"/>
      <c r="C75" s="57">
        <f>C76</f>
        <v>9373</v>
      </c>
      <c r="D75" s="59"/>
      <c r="E75" s="194"/>
      <c r="F75" s="121"/>
    </row>
    <row r="76" spans="1:6" x14ac:dyDescent="0.25">
      <c r="A76" s="123" t="s">
        <v>168</v>
      </c>
      <c r="B76" s="121"/>
      <c r="C76" s="99">
        <v>9373</v>
      </c>
      <c r="D76" s="121"/>
      <c r="E76" s="121"/>
      <c r="F76" s="121"/>
    </row>
    <row r="77" spans="1:6" x14ac:dyDescent="0.25">
      <c r="A77" s="122" t="s">
        <v>169</v>
      </c>
      <c r="B77" s="121"/>
      <c r="C77" s="124">
        <f>C78+C79</f>
        <v>2</v>
      </c>
      <c r="D77" s="121"/>
      <c r="E77" s="121"/>
      <c r="F77" s="121"/>
    </row>
    <row r="78" spans="1:6" ht="30" x14ac:dyDescent="0.25">
      <c r="A78" s="123" t="s">
        <v>170</v>
      </c>
      <c r="B78" s="121"/>
      <c r="C78" s="125">
        <v>2</v>
      </c>
      <c r="D78" s="121"/>
      <c r="E78" s="121"/>
      <c r="F78" s="121"/>
    </row>
    <row r="79" spans="1:6" ht="15.75" thickBot="1" x14ac:dyDescent="0.3">
      <c r="A79" s="126" t="s">
        <v>171</v>
      </c>
      <c r="B79" s="127"/>
      <c r="C79" s="652"/>
      <c r="D79" s="127"/>
      <c r="E79" s="127"/>
      <c r="F79" s="127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1496062992125984" bottom="0.19685039370078741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Хабаровск-1</vt:lpstr>
      <vt:lpstr>Хабаровск-2</vt:lpstr>
      <vt:lpstr>Комсомольск</vt:lpstr>
      <vt:lpstr>Амурск</vt:lpstr>
      <vt:lpstr>Аян</vt:lpstr>
      <vt:lpstr>Ванино</vt:lpstr>
      <vt:lpstr>ЛАЗО</vt:lpstr>
      <vt:lpstr>Нанайский</vt:lpstr>
      <vt:lpstr>Николаевск</vt:lpstr>
      <vt:lpstr>Солнечный</vt:lpstr>
      <vt:lpstr>Амурск!Заголовки_для_печати</vt:lpstr>
      <vt:lpstr>Аян!Заголовки_для_печати</vt:lpstr>
      <vt:lpstr>Ванино!Заголовки_для_печати</vt:lpstr>
      <vt:lpstr>Комсомольск!Заголовки_для_печати</vt:lpstr>
      <vt:lpstr>ЛАЗО!Заголовки_для_печати</vt:lpstr>
      <vt:lpstr>Нанайский!Заголовки_для_печати</vt:lpstr>
      <vt:lpstr>Николаевск!Заголовки_для_печати</vt:lpstr>
      <vt:lpstr>Солнечный!Заголовки_для_печати</vt:lpstr>
      <vt:lpstr>'Хабаровск-1'!Заголовки_для_печати</vt:lpstr>
      <vt:lpstr>'Хабаровск-2'!Заголовки_для_печати</vt:lpstr>
      <vt:lpstr>Амурск!Область_печати</vt:lpstr>
      <vt:lpstr>Ванино!Область_печати</vt:lpstr>
      <vt:lpstr>Комсомольск!Область_печати</vt:lpstr>
      <vt:lpstr>ЛАЗО!Область_печати</vt:lpstr>
      <vt:lpstr>Николаевск!Область_печати</vt:lpstr>
      <vt:lpstr>Солнечный!Область_печати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2019-05-31T00:16:42Z</cp:lastPrinted>
  <dcterms:created xsi:type="dcterms:W3CDTF">2011-12-09T04:00:35Z</dcterms:created>
  <dcterms:modified xsi:type="dcterms:W3CDTF">2019-11-12T06:29:47Z</dcterms:modified>
</cp:coreProperties>
</file>